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INGER\Documents\SRPF\BOARD MATERIALS\SHIRLEY'S REPORTS\MONTHLY FINANCIALS\"/>
    </mc:Choice>
  </mc:AlternateContent>
  <xr:revisionPtr revIDLastSave="0" documentId="8_{483A61AF-46F0-4CA5-A397-E7CA10BE4DC5}" xr6:coauthVersionLast="47" xr6:coauthVersionMax="47" xr10:uidLastSave="{00000000-0000-0000-0000-000000000000}"/>
  <bookViews>
    <workbookView xWindow="-120" yWindow="600" windowWidth="19440" windowHeight="10440" xr2:uid="{00000000-000D-0000-FFFF-FFFF00000000}"/>
  </bookViews>
  <sheets>
    <sheet name="Profit and Loss" sheetId="1" r:id="rId1"/>
  </sheets>
  <definedNames>
    <definedName name="_xlnm.Print_Area" localSheetId="0">'Profit and Loss'!$A$1:$B$123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5" i="1" l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116" i="1" s="1"/>
  <c r="B97" i="1"/>
  <c r="B96" i="1"/>
  <c r="B95" i="1"/>
  <c r="B94" i="1"/>
  <c r="B91" i="1"/>
  <c r="B90" i="1"/>
  <c r="B89" i="1"/>
  <c r="B88" i="1"/>
  <c r="B87" i="1"/>
  <c r="B86" i="1"/>
  <c r="B85" i="1"/>
  <c r="B92" i="1" s="1"/>
  <c r="B84" i="1"/>
  <c r="B83" i="1"/>
  <c r="B80" i="1"/>
  <c r="B79" i="1"/>
  <c r="B78" i="1"/>
  <c r="B77" i="1"/>
  <c r="B81" i="1" s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75" i="1" s="1"/>
  <c r="B59" i="1"/>
  <c r="B58" i="1"/>
  <c r="B57" i="1"/>
  <c r="B56" i="1"/>
  <c r="B55" i="1"/>
  <c r="B54" i="1"/>
  <c r="B53" i="1"/>
  <c r="B52" i="1"/>
  <c r="B50" i="1"/>
  <c r="B49" i="1"/>
  <c r="B48" i="1"/>
  <c r="B47" i="1"/>
  <c r="B46" i="1"/>
  <c r="B45" i="1"/>
  <c r="B43" i="1"/>
  <c r="B42" i="1"/>
  <c r="B37" i="1"/>
  <c r="B36" i="1"/>
  <c r="B35" i="1"/>
  <c r="B32" i="1"/>
  <c r="B33" i="1" s="1"/>
  <c r="B29" i="1"/>
  <c r="B30" i="1" s="1"/>
  <c r="B28" i="1"/>
  <c r="B27" i="1"/>
  <c r="B26" i="1"/>
  <c r="B25" i="1"/>
  <c r="B22" i="1"/>
  <c r="B21" i="1"/>
  <c r="B23" i="1" s="1"/>
  <c r="B19" i="1"/>
  <c r="B18" i="1"/>
  <c r="B17" i="1"/>
  <c r="B14" i="1"/>
  <c r="B15" i="1" s="1"/>
  <c r="B11" i="1"/>
  <c r="B12" i="1" s="1"/>
  <c r="B8" i="1"/>
  <c r="B9" i="1" s="1"/>
  <c r="B117" i="1" l="1"/>
  <c r="B38" i="1"/>
  <c r="B39" i="1" s="1"/>
  <c r="B118" i="1" s="1"/>
  <c r="B119" i="1" s="1"/>
</calcChain>
</file>

<file path=xl/sharedStrings.xml><?xml version="1.0" encoding="utf-8"?>
<sst xmlns="http://schemas.openxmlformats.org/spreadsheetml/2006/main" count="119" uniqueCount="119">
  <si>
    <t>Total</t>
  </si>
  <si>
    <t>Income</t>
  </si>
  <si>
    <t xml:space="preserve">   4000 Direct contributions</t>
  </si>
  <si>
    <t xml:space="preserve">      4010 Unsolicited contributions</t>
  </si>
  <si>
    <t xml:space="preserve">   Total 4000 Direct contributions</t>
  </si>
  <si>
    <t xml:space="preserve">   4200 Non-government grants</t>
  </si>
  <si>
    <t xml:space="preserve">      4230 Foundation/trust grants</t>
  </si>
  <si>
    <t xml:space="preserve">   Total 4200 Non-government grants</t>
  </si>
  <si>
    <t xml:space="preserve">   4500 Government grants</t>
  </si>
  <si>
    <t xml:space="preserve">      4540 Local government grants</t>
  </si>
  <si>
    <t xml:space="preserve">   Total 4500 Government grants</t>
  </si>
  <si>
    <t xml:space="preserve">   5100 Program-related sales &amp; fees</t>
  </si>
  <si>
    <t xml:space="preserve">      5105 NERF Forum Educational</t>
  </si>
  <si>
    <t xml:space="preserve">      5110 Family Wildlife Day</t>
  </si>
  <si>
    <t xml:space="preserve">   Total 5100 Program-related sales &amp; fees</t>
  </si>
  <si>
    <t xml:space="preserve">   5200 Dues</t>
  </si>
  <si>
    <t xml:space="preserve">      5210 Membership dues-individuals</t>
  </si>
  <si>
    <t xml:space="preserve">      5220 Dues-Corporate Memberships</t>
  </si>
  <si>
    <t xml:space="preserve">   Total 5200 Dues</t>
  </si>
  <si>
    <t xml:space="preserve">   5300 Investment Income</t>
  </si>
  <si>
    <t xml:space="preserve">      5310 Interest-savings &amp; investments</t>
  </si>
  <si>
    <t xml:space="preserve">      5311 Interest -1083 EllisInvestment</t>
  </si>
  <si>
    <t xml:space="preserve">      5320 Dividends &amp; interest-securities</t>
  </si>
  <si>
    <t xml:space="preserve">      5360 Other investment income</t>
  </si>
  <si>
    <t xml:space="preserve">      5361 Other Investment 1083 Ellis</t>
  </si>
  <si>
    <t xml:space="preserve">   Total 5300 Investment Income</t>
  </si>
  <si>
    <t xml:space="preserve">   5400 Other sources</t>
  </si>
  <si>
    <t xml:space="preserve">      5450 Scholarship revenue</t>
  </si>
  <si>
    <t xml:space="preserve">   Total 5400 Other sources</t>
  </si>
  <si>
    <t xml:space="preserve">   5800 Events</t>
  </si>
  <si>
    <t xml:space="preserve">      5820 Events - Art show/Concerts</t>
  </si>
  <si>
    <t xml:space="preserve">      5840 Events - CowBoy Julilee</t>
  </si>
  <si>
    <t xml:space="preserve">   Total 5800 Events</t>
  </si>
  <si>
    <t>Total Income</t>
  </si>
  <si>
    <t>Gross Profit</t>
  </si>
  <si>
    <t>Expenses</t>
  </si>
  <si>
    <t xml:space="preserve">   7200 Salaries &amp; related expenses</t>
  </si>
  <si>
    <t xml:space="preserve">      7250 Payroll taxes, etc.</t>
  </si>
  <si>
    <t xml:space="preserve">   Total 7200 Salaries &amp; related expenses</t>
  </si>
  <si>
    <t xml:space="preserve">   7500 Contract service expenses</t>
  </si>
  <si>
    <t xml:space="preserve">      7520 Accounting fees</t>
  </si>
  <si>
    <t xml:space="preserve">      7525 Tax Preparation Fee</t>
  </si>
  <si>
    <t xml:space="preserve">      7526 Payroll Tax Preparation</t>
  </si>
  <si>
    <t xml:space="preserve">      7540 Professional fees - other</t>
  </si>
  <si>
    <t xml:space="preserve">      7550 Other Professional- contract</t>
  </si>
  <si>
    <t xml:space="preserve">   Total 7500 Contract service expenses</t>
  </si>
  <si>
    <t xml:space="preserve">   8000 Program related expenses</t>
  </si>
  <si>
    <t xml:space="preserve">      8005 Salaries&amp;Wages - Programs</t>
  </si>
  <si>
    <t xml:space="preserve">      8010 Transportation E/S M/S</t>
  </si>
  <si>
    <t xml:space="preserve">      8020 Climate Change (Habitat)</t>
  </si>
  <si>
    <t xml:space="preserve">      8070 Family Wildlife Day</t>
  </si>
  <si>
    <t xml:space="preserve">      8077 NERF Forum</t>
  </si>
  <si>
    <t xml:space="preserve">      8079 Junior Ranger Program</t>
  </si>
  <si>
    <t xml:space="preserve">      8080 Other-Ambassadors</t>
  </si>
  <si>
    <t xml:space="preserve">   Total 8000 Program related expenses</t>
  </si>
  <si>
    <t xml:space="preserve">   8100 Program suppport  expenses</t>
  </si>
  <si>
    <t xml:space="preserve">      8105 Salaries&amp; Wages-Program Support</t>
  </si>
  <si>
    <t xml:space="preserve">      8110 Supplies</t>
  </si>
  <si>
    <t xml:space="preserve">      8120 Website services</t>
  </si>
  <si>
    <t xml:space="preserve">      8125 Annual Membership Mtg expense</t>
  </si>
  <si>
    <t xml:space="preserve">      8140 Postage &amp; shipping</t>
  </si>
  <si>
    <t xml:space="preserve">      8150 Social Media/Newsletters</t>
  </si>
  <si>
    <t xml:space="preserve">      8170 Printing &amp; copying</t>
  </si>
  <si>
    <t xml:space="preserve">      8171 Member education</t>
  </si>
  <si>
    <t xml:space="preserve">      8172 Program Evaluation</t>
  </si>
  <si>
    <t xml:space="preserve">      8180 Volunteer education</t>
  </si>
  <si>
    <t xml:space="preserve">      8181 Donor education</t>
  </si>
  <si>
    <t xml:space="preserve">      8190 Exec. Dir. mileage expense</t>
  </si>
  <si>
    <t xml:space="preserve">      8191 Chamber of Commerce expense</t>
  </si>
  <si>
    <t xml:space="preserve">      8195 Other expense</t>
  </si>
  <si>
    <t xml:space="preserve">   Total 8100 Program suppport  expenses</t>
  </si>
  <si>
    <t xml:space="preserve">   8200 Administrative expenses</t>
  </si>
  <si>
    <t xml:space="preserve">      8205 Salaries&amp;Wages-Administration</t>
  </si>
  <si>
    <t xml:space="preserve">      8221 Utilities</t>
  </si>
  <si>
    <t xml:space="preserve">      8225 Telephone expense</t>
  </si>
  <si>
    <t xml:space="preserve">      8226 Postage expense</t>
  </si>
  <si>
    <t xml:space="preserve">   Total 8200 Administrative expenses</t>
  </si>
  <si>
    <t xml:space="preserve">   8300 Administrative Travel &amp; meeting</t>
  </si>
  <si>
    <t xml:space="preserve">      8350 Grant development expense</t>
  </si>
  <si>
    <t xml:space="preserve">   Total 8300 Administrative Travel &amp; meeting</t>
  </si>
  <si>
    <t xml:space="preserve">   8500 Administrative Other expenses</t>
  </si>
  <si>
    <t xml:space="preserve">      8515 Insurance - General Liab &amp; D&amp;O</t>
  </si>
  <si>
    <t xml:space="preserve">      8520 Insurance - Workers Comp</t>
  </si>
  <si>
    <t xml:space="preserve">      8560 Outside computer services</t>
  </si>
  <si>
    <t xml:space="preserve">      8565 Office supplies</t>
  </si>
  <si>
    <t xml:space="preserve">      8570 Advertising expenses</t>
  </si>
  <si>
    <t xml:space="preserve">      8590 Other expenses</t>
  </si>
  <si>
    <t xml:space="preserve">   Total 8500 Administrative Other expenses</t>
  </si>
  <si>
    <t xml:space="preserve">   8600 Administrative Bus    expenses</t>
  </si>
  <si>
    <t xml:space="preserve">      8610 Bank fee-credit card</t>
  </si>
  <si>
    <t xml:space="preserve">      8611 Service Fee-Investments</t>
  </si>
  <si>
    <t xml:space="preserve">      8612 Service Fee-Invest 1083 Ellis</t>
  </si>
  <si>
    <t xml:space="preserve">   Total 8600 Administrative Bus    expenses</t>
  </si>
  <si>
    <t xml:space="preserve">   8700 Fund Raising Event expenses</t>
  </si>
  <si>
    <t xml:space="preserve">      8705 Salaries &amp; Wages - Fund Raising</t>
  </si>
  <si>
    <t xml:space="preserve">      8710 Supplies expense</t>
  </si>
  <si>
    <t xml:space="preserve">      8720 Rental expense</t>
  </si>
  <si>
    <t xml:space="preserve">      8725 Trolley-transport</t>
  </si>
  <si>
    <t xml:space="preserve">      8730 Food</t>
  </si>
  <si>
    <t xml:space="preserve">      8740 Drinks</t>
  </si>
  <si>
    <t xml:space="preserve">      8745 Marketing</t>
  </si>
  <si>
    <t xml:space="preserve">      8750 Printing</t>
  </si>
  <si>
    <t xml:space="preserve">      8755 Advertising</t>
  </si>
  <si>
    <t xml:space="preserve">      8760 Signage</t>
  </si>
  <si>
    <t xml:space="preserve">      8780 Entertainment</t>
  </si>
  <si>
    <t xml:space="preserve">      8784 Logistics</t>
  </si>
  <si>
    <t xml:space="preserve">      8785 Merchant Fees</t>
  </si>
  <si>
    <t xml:space="preserve">      8790 Other</t>
  </si>
  <si>
    <t xml:space="preserve">      8791 Other - Salaries &amp; Wages</t>
  </si>
  <si>
    <t xml:space="preserve">      8792 TOH - Pop up dinner/Kodi Concert</t>
  </si>
  <si>
    <t xml:space="preserve">      8799 Miscellaneous-In/Out</t>
  </si>
  <si>
    <t xml:space="preserve">   Total 8700 Fund Raising Event expenses</t>
  </si>
  <si>
    <t>Total Expenses</t>
  </si>
  <si>
    <t>Net Operating Income</t>
  </si>
  <si>
    <t>Net Income</t>
  </si>
  <si>
    <t>Wednesday, Feb 19, 2025 04:51:38 PM GMT-8 - Cash Basis</t>
  </si>
  <si>
    <t>Santa Rosa Plateau Foundation</t>
  </si>
  <si>
    <t>Profit and Loss</t>
  </si>
  <si>
    <t>July 2024 - January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</si>
</sst>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&quot;$&quot;* #,##0.00\ _€"/>
  </numFmts>
  <fonts count="6" x14ac:knownFonts="1">
    <font>
      <sz val="11"/>
      <color indexed="8"/>
      <name val="Aptos Narrow"/>
      <family val="2"/>
      <scheme val="minor"/>
    </font>
    <font>
      <b/>
      <sz val="9"/>
      <color indexed="8"/>
      <name val="Arial"/>
    </font>
    <font>
      <b/>
      <sz val="8"/>
      <color indexed="8"/>
      <name val="Arial"/>
    </font>
    <font>
      <sz val="8"/>
      <color indexed="8"/>
      <name val="Arial"/>
    </font>
    <font>
      <b/>
      <sz val="14"/>
      <color indexed="8"/>
      <name val="Arial"/>
    </font>
    <font>
      <b/>
      <sz val="10"/>
      <color indexed="8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164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165" fontId="2" fillId="0" borderId="2" xfId="0" applyNumberFormat="1" applyFont="1" applyBorder="1" applyAlignment="1">
      <alignment horizontal="right" wrapText="1"/>
    </xf>
    <xf numFmtId="165" fontId="2" fillId="0" borderId="3" xfId="0" applyNumberFormat="1" applyFont="1" applyBorder="1" applyAlignment="1">
      <alignment horizontal="right" wrapText="1"/>
    </xf>
    <xf numFmtId="0" fontId="3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23"/>
  <sheetViews>
    <sheetView tabSelected="1" workbookViewId="0">
      <selection activeCell="E19" sqref="E19"/>
    </sheetView>
  </sheetViews>
  <sheetFormatPr defaultRowHeight="15" x14ac:dyDescent="0.25"/>
  <cols>
    <col min="1" max="1" width="39.5703125" customWidth="1"/>
    <col min="2" max="2" width="25.7109375" customWidth="1"/>
  </cols>
  <sheetData>
    <row r="1" spans="1:2" ht="18" x14ac:dyDescent="0.25">
      <c r="A1" s="10" t="s">
        <v>116</v>
      </c>
      <c r="B1" s="9"/>
    </row>
    <row r="2" spans="1:2" ht="18" x14ac:dyDescent="0.25">
      <c r="A2" s="10" t="s">
        <v>117</v>
      </c>
      <c r="B2" s="9"/>
    </row>
    <row r="3" spans="1:2" x14ac:dyDescent="0.25">
      <c r="A3" s="11" t="s">
        <v>118</v>
      </c>
      <c r="B3" s="9"/>
    </row>
    <row r="5" spans="1:2" x14ac:dyDescent="0.25">
      <c r="A5" s="1"/>
      <c r="B5" s="2" t="s">
        <v>0</v>
      </c>
    </row>
    <row r="6" spans="1:2" x14ac:dyDescent="0.25">
      <c r="A6" s="3" t="s">
        <v>1</v>
      </c>
      <c r="B6" s="4"/>
    </row>
    <row r="7" spans="1:2" x14ac:dyDescent="0.25">
      <c r="A7" s="3" t="s">
        <v>2</v>
      </c>
      <c r="B7" s="4"/>
    </row>
    <row r="8" spans="1:2" x14ac:dyDescent="0.25">
      <c r="A8" s="3" t="s">
        <v>3</v>
      </c>
      <c r="B8" s="5">
        <f>4174.23</f>
        <v>4174.2299999999996</v>
      </c>
    </row>
    <row r="9" spans="1:2" x14ac:dyDescent="0.25">
      <c r="A9" s="3" t="s">
        <v>4</v>
      </c>
      <c r="B9" s="6">
        <f>(B7)+(B8)</f>
        <v>4174.2299999999996</v>
      </c>
    </row>
    <row r="10" spans="1:2" x14ac:dyDescent="0.25">
      <c r="A10" s="3" t="s">
        <v>5</v>
      </c>
      <c r="B10" s="4"/>
    </row>
    <row r="11" spans="1:2" x14ac:dyDescent="0.25">
      <c r="A11" s="3" t="s">
        <v>6</v>
      </c>
      <c r="B11" s="5">
        <f>75000</f>
        <v>75000</v>
      </c>
    </row>
    <row r="12" spans="1:2" x14ac:dyDescent="0.25">
      <c r="A12" s="3" t="s">
        <v>7</v>
      </c>
      <c r="B12" s="6">
        <f>(B10)+(B11)</f>
        <v>75000</v>
      </c>
    </row>
    <row r="13" spans="1:2" x14ac:dyDescent="0.25">
      <c r="A13" s="3" t="s">
        <v>8</v>
      </c>
      <c r="B13" s="4"/>
    </row>
    <row r="14" spans="1:2" x14ac:dyDescent="0.25">
      <c r="A14" s="3" t="s">
        <v>9</v>
      </c>
      <c r="B14" s="5">
        <f>18000</f>
        <v>18000</v>
      </c>
    </row>
    <row r="15" spans="1:2" x14ac:dyDescent="0.25">
      <c r="A15" s="3" t="s">
        <v>10</v>
      </c>
      <c r="B15" s="6">
        <f>(B13)+(B14)</f>
        <v>18000</v>
      </c>
    </row>
    <row r="16" spans="1:2" x14ac:dyDescent="0.25">
      <c r="A16" s="3" t="s">
        <v>11</v>
      </c>
      <c r="B16" s="4"/>
    </row>
    <row r="17" spans="1:2" x14ac:dyDescent="0.25">
      <c r="A17" s="3" t="s">
        <v>12</v>
      </c>
      <c r="B17" s="5">
        <f>2280</f>
        <v>2280</v>
      </c>
    </row>
    <row r="18" spans="1:2" x14ac:dyDescent="0.25">
      <c r="A18" s="3" t="s">
        <v>13</v>
      </c>
      <c r="B18" s="5">
        <f>2374</f>
        <v>2374</v>
      </c>
    </row>
    <row r="19" spans="1:2" x14ac:dyDescent="0.25">
      <c r="A19" s="3" t="s">
        <v>14</v>
      </c>
      <c r="B19" s="6">
        <f>((B16)+(B17))+(B18)</f>
        <v>4654</v>
      </c>
    </row>
    <row r="20" spans="1:2" x14ac:dyDescent="0.25">
      <c r="A20" s="3" t="s">
        <v>15</v>
      </c>
      <c r="B20" s="4"/>
    </row>
    <row r="21" spans="1:2" x14ac:dyDescent="0.25">
      <c r="A21" s="3" t="s">
        <v>16</v>
      </c>
      <c r="B21" s="5">
        <f>32120</f>
        <v>32120</v>
      </c>
    </row>
    <row r="22" spans="1:2" x14ac:dyDescent="0.25">
      <c r="A22" s="3" t="s">
        <v>17</v>
      </c>
      <c r="B22" s="5">
        <f>2000</f>
        <v>2000</v>
      </c>
    </row>
    <row r="23" spans="1:2" x14ac:dyDescent="0.25">
      <c r="A23" s="3" t="s">
        <v>18</v>
      </c>
      <c r="B23" s="6">
        <f>((B20)+(B21))+(B22)</f>
        <v>34120</v>
      </c>
    </row>
    <row r="24" spans="1:2" x14ac:dyDescent="0.25">
      <c r="A24" s="3" t="s">
        <v>19</v>
      </c>
      <c r="B24" s="4"/>
    </row>
    <row r="25" spans="1:2" x14ac:dyDescent="0.25">
      <c r="A25" s="3" t="s">
        <v>20</v>
      </c>
      <c r="B25" s="5">
        <f>516.73</f>
        <v>516.73</v>
      </c>
    </row>
    <row r="26" spans="1:2" x14ac:dyDescent="0.25">
      <c r="A26" s="3" t="s">
        <v>21</v>
      </c>
      <c r="B26" s="5">
        <f>9246.96</f>
        <v>9246.9599999999991</v>
      </c>
    </row>
    <row r="27" spans="1:2" x14ac:dyDescent="0.25">
      <c r="A27" s="3" t="s">
        <v>22</v>
      </c>
      <c r="B27" s="5">
        <f>21.4</f>
        <v>21.4</v>
      </c>
    </row>
    <row r="28" spans="1:2" x14ac:dyDescent="0.25">
      <c r="A28" s="3" t="s">
        <v>23</v>
      </c>
      <c r="B28" s="5">
        <f>1123.73</f>
        <v>1123.73</v>
      </c>
    </row>
    <row r="29" spans="1:2" x14ac:dyDescent="0.25">
      <c r="A29" s="3" t="s">
        <v>24</v>
      </c>
      <c r="B29" s="5">
        <f>22214.8</f>
        <v>22214.799999999999</v>
      </c>
    </row>
    <row r="30" spans="1:2" x14ac:dyDescent="0.25">
      <c r="A30" s="3" t="s">
        <v>25</v>
      </c>
      <c r="B30" s="6">
        <f>(((((B24)+(B25))+(B26))+(B27))+(B28))+(B29)</f>
        <v>33123.619999999995</v>
      </c>
    </row>
    <row r="31" spans="1:2" x14ac:dyDescent="0.25">
      <c r="A31" s="3" t="s">
        <v>26</v>
      </c>
      <c r="B31" s="4"/>
    </row>
    <row r="32" spans="1:2" x14ac:dyDescent="0.25">
      <c r="A32" s="3" t="s">
        <v>27</v>
      </c>
      <c r="B32" s="5">
        <f>3000</f>
        <v>3000</v>
      </c>
    </row>
    <row r="33" spans="1:2" x14ac:dyDescent="0.25">
      <c r="A33" s="3" t="s">
        <v>28</v>
      </c>
      <c r="B33" s="6">
        <f>(B31)+(B32)</f>
        <v>3000</v>
      </c>
    </row>
    <row r="34" spans="1:2" x14ac:dyDescent="0.25">
      <c r="A34" s="3" t="s">
        <v>29</v>
      </c>
      <c r="B34" s="4"/>
    </row>
    <row r="35" spans="1:2" x14ac:dyDescent="0.25">
      <c r="A35" s="3" t="s">
        <v>30</v>
      </c>
      <c r="B35" s="5">
        <f>47862.52</f>
        <v>47862.52</v>
      </c>
    </row>
    <row r="36" spans="1:2" x14ac:dyDescent="0.25">
      <c r="A36" s="3" t="s">
        <v>31</v>
      </c>
      <c r="B36" s="5">
        <f>25650.58</f>
        <v>25650.58</v>
      </c>
    </row>
    <row r="37" spans="1:2" x14ac:dyDescent="0.25">
      <c r="A37" s="3" t="s">
        <v>32</v>
      </c>
      <c r="B37" s="6">
        <f>((B34)+(B35))+(B36)</f>
        <v>73513.100000000006</v>
      </c>
    </row>
    <row r="38" spans="1:2" x14ac:dyDescent="0.25">
      <c r="A38" s="3" t="s">
        <v>33</v>
      </c>
      <c r="B38" s="6">
        <f>(((((((B9)+(B12))+(B15))+(B19))+(B23))+(B30))+(B33))+(B37)</f>
        <v>245584.94999999998</v>
      </c>
    </row>
    <row r="39" spans="1:2" x14ac:dyDescent="0.25">
      <c r="A39" s="3" t="s">
        <v>34</v>
      </c>
      <c r="B39" s="6">
        <f>(B38)-(0)</f>
        <v>245584.94999999998</v>
      </c>
    </row>
    <row r="40" spans="1:2" x14ac:dyDescent="0.25">
      <c r="A40" s="3" t="s">
        <v>35</v>
      </c>
      <c r="B40" s="4"/>
    </row>
    <row r="41" spans="1:2" x14ac:dyDescent="0.25">
      <c r="A41" s="3" t="s">
        <v>36</v>
      </c>
      <c r="B41" s="4"/>
    </row>
    <row r="42" spans="1:2" x14ac:dyDescent="0.25">
      <c r="A42" s="3" t="s">
        <v>37</v>
      </c>
      <c r="B42" s="5">
        <f>6651.56</f>
        <v>6651.56</v>
      </c>
    </row>
    <row r="43" spans="1:2" x14ac:dyDescent="0.25">
      <c r="A43" s="3" t="s">
        <v>38</v>
      </c>
      <c r="B43" s="6">
        <f>(B41)+(B42)</f>
        <v>6651.56</v>
      </c>
    </row>
    <row r="44" spans="1:2" x14ac:dyDescent="0.25">
      <c r="A44" s="3" t="s">
        <v>39</v>
      </c>
      <c r="B44" s="4"/>
    </row>
    <row r="45" spans="1:2" x14ac:dyDescent="0.25">
      <c r="A45" s="3" t="s">
        <v>40</v>
      </c>
      <c r="B45" s="5">
        <f>1085</f>
        <v>1085</v>
      </c>
    </row>
    <row r="46" spans="1:2" x14ac:dyDescent="0.25">
      <c r="A46" s="3" t="s">
        <v>41</v>
      </c>
      <c r="B46" s="5">
        <f>1650</f>
        <v>1650</v>
      </c>
    </row>
    <row r="47" spans="1:2" x14ac:dyDescent="0.25">
      <c r="A47" s="3" t="s">
        <v>42</v>
      </c>
      <c r="B47" s="5">
        <f>1500</f>
        <v>1500</v>
      </c>
    </row>
    <row r="48" spans="1:2" x14ac:dyDescent="0.25">
      <c r="A48" s="3" t="s">
        <v>43</v>
      </c>
      <c r="B48" s="5">
        <f>10170.85</f>
        <v>10170.85</v>
      </c>
    </row>
    <row r="49" spans="1:2" x14ac:dyDescent="0.25">
      <c r="A49" s="3" t="s">
        <v>44</v>
      </c>
      <c r="B49" s="5">
        <f>4207.68</f>
        <v>4207.68</v>
      </c>
    </row>
    <row r="50" spans="1:2" x14ac:dyDescent="0.25">
      <c r="A50" s="3" t="s">
        <v>45</v>
      </c>
      <c r="B50" s="6">
        <f>(((((B44)+(B45))+(B46))+(B47))+(B48))+(B49)</f>
        <v>18613.53</v>
      </c>
    </row>
    <row r="51" spans="1:2" x14ac:dyDescent="0.25">
      <c r="A51" s="3" t="s">
        <v>46</v>
      </c>
      <c r="B51" s="4"/>
    </row>
    <row r="52" spans="1:2" x14ac:dyDescent="0.25">
      <c r="A52" s="3" t="s">
        <v>47</v>
      </c>
      <c r="B52" s="5">
        <f>33390.98</f>
        <v>33390.980000000003</v>
      </c>
    </row>
    <row r="53" spans="1:2" x14ac:dyDescent="0.25">
      <c r="A53" s="3" t="s">
        <v>48</v>
      </c>
      <c r="B53" s="5">
        <f>1477.89</f>
        <v>1477.89</v>
      </c>
    </row>
    <row r="54" spans="1:2" x14ac:dyDescent="0.25">
      <c r="A54" s="3" t="s">
        <v>49</v>
      </c>
      <c r="B54" s="5">
        <f>5643.19</f>
        <v>5643.19</v>
      </c>
    </row>
    <row r="55" spans="1:2" x14ac:dyDescent="0.25">
      <c r="A55" s="3" t="s">
        <v>50</v>
      </c>
      <c r="B55" s="5">
        <f>2862.8</f>
        <v>2862.8</v>
      </c>
    </row>
    <row r="56" spans="1:2" x14ac:dyDescent="0.25">
      <c r="A56" s="3" t="s">
        <v>51</v>
      </c>
      <c r="B56" s="5">
        <f>1066.78</f>
        <v>1066.78</v>
      </c>
    </row>
    <row r="57" spans="1:2" x14ac:dyDescent="0.25">
      <c r="A57" s="3" t="s">
        <v>52</v>
      </c>
      <c r="B57" s="5">
        <f>969.53</f>
        <v>969.53</v>
      </c>
    </row>
    <row r="58" spans="1:2" x14ac:dyDescent="0.25">
      <c r="A58" s="3" t="s">
        <v>53</v>
      </c>
      <c r="B58" s="5">
        <f>1657.88</f>
        <v>1657.88</v>
      </c>
    </row>
    <row r="59" spans="1:2" x14ac:dyDescent="0.25">
      <c r="A59" s="3" t="s">
        <v>54</v>
      </c>
      <c r="B59" s="6">
        <f>(((((((B51)+(B52))+(B53))+(B54))+(B55))+(B56))+(B57))+(B58)</f>
        <v>47069.05</v>
      </c>
    </row>
    <row r="60" spans="1:2" x14ac:dyDescent="0.25">
      <c r="A60" s="3" t="s">
        <v>55</v>
      </c>
      <c r="B60" s="4"/>
    </row>
    <row r="61" spans="1:2" x14ac:dyDescent="0.25">
      <c r="A61" s="3" t="s">
        <v>56</v>
      </c>
      <c r="B61" s="5">
        <f>51363.73</f>
        <v>51363.73</v>
      </c>
    </row>
    <row r="62" spans="1:2" x14ac:dyDescent="0.25">
      <c r="A62" s="3" t="s">
        <v>57</v>
      </c>
      <c r="B62" s="5">
        <f>418.34</f>
        <v>418.34</v>
      </c>
    </row>
    <row r="63" spans="1:2" x14ac:dyDescent="0.25">
      <c r="A63" s="3" t="s">
        <v>58</v>
      </c>
      <c r="B63" s="5">
        <f>1850</f>
        <v>1850</v>
      </c>
    </row>
    <row r="64" spans="1:2" x14ac:dyDescent="0.25">
      <c r="A64" s="3" t="s">
        <v>59</v>
      </c>
      <c r="B64" s="5">
        <f>621.15</f>
        <v>621.15</v>
      </c>
    </row>
    <row r="65" spans="1:2" x14ac:dyDescent="0.25">
      <c r="A65" s="3" t="s">
        <v>60</v>
      </c>
      <c r="B65" s="5">
        <f>19.11</f>
        <v>19.11</v>
      </c>
    </row>
    <row r="66" spans="1:2" x14ac:dyDescent="0.25">
      <c r="A66" s="3" t="s">
        <v>61</v>
      </c>
      <c r="B66" s="5">
        <f>8320</f>
        <v>8320</v>
      </c>
    </row>
    <row r="67" spans="1:2" x14ac:dyDescent="0.25">
      <c r="A67" s="3" t="s">
        <v>62</v>
      </c>
      <c r="B67" s="5">
        <f>1050.54</f>
        <v>1050.54</v>
      </c>
    </row>
    <row r="68" spans="1:2" x14ac:dyDescent="0.25">
      <c r="A68" s="3" t="s">
        <v>63</v>
      </c>
      <c r="B68" s="5">
        <f>3261.47</f>
        <v>3261.47</v>
      </c>
    </row>
    <row r="69" spans="1:2" x14ac:dyDescent="0.25">
      <c r="A69" s="3" t="s">
        <v>64</v>
      </c>
      <c r="B69" s="5">
        <f>468</f>
        <v>468</v>
      </c>
    </row>
    <row r="70" spans="1:2" x14ac:dyDescent="0.25">
      <c r="A70" s="3" t="s">
        <v>65</v>
      </c>
      <c r="B70" s="5">
        <f>680.33</f>
        <v>680.33</v>
      </c>
    </row>
    <row r="71" spans="1:2" x14ac:dyDescent="0.25">
      <c r="A71" s="3" t="s">
        <v>66</v>
      </c>
      <c r="B71" s="5">
        <f>55</f>
        <v>55</v>
      </c>
    </row>
    <row r="72" spans="1:2" x14ac:dyDescent="0.25">
      <c r="A72" s="3" t="s">
        <v>67</v>
      </c>
      <c r="B72" s="5">
        <f>1875.2</f>
        <v>1875.2</v>
      </c>
    </row>
    <row r="73" spans="1:2" x14ac:dyDescent="0.25">
      <c r="A73" s="3" t="s">
        <v>68</v>
      </c>
      <c r="B73" s="5">
        <f>1263</f>
        <v>1263</v>
      </c>
    </row>
    <row r="74" spans="1:2" x14ac:dyDescent="0.25">
      <c r="A74" s="3" t="s">
        <v>69</v>
      </c>
      <c r="B74" s="5">
        <f>984</f>
        <v>984</v>
      </c>
    </row>
    <row r="75" spans="1:2" x14ac:dyDescent="0.25">
      <c r="A75" s="3" t="s">
        <v>70</v>
      </c>
      <c r="B75" s="6">
        <f>((((((((((((((B60)+(B61))+(B62))+(B63))+(B64))+(B65))+(B66))+(B67))+(B68))+(B69))+(B70))+(B71))+(B72))+(B73))+(B74)</f>
        <v>72229.87</v>
      </c>
    </row>
    <row r="76" spans="1:2" x14ac:dyDescent="0.25">
      <c r="A76" s="3" t="s">
        <v>71</v>
      </c>
      <c r="B76" s="4"/>
    </row>
    <row r="77" spans="1:2" x14ac:dyDescent="0.25">
      <c r="A77" s="3" t="s">
        <v>72</v>
      </c>
      <c r="B77" s="5">
        <f>2717.82</f>
        <v>2717.82</v>
      </c>
    </row>
    <row r="78" spans="1:2" x14ac:dyDescent="0.25">
      <c r="A78" s="3" t="s">
        <v>73</v>
      </c>
      <c r="B78" s="5">
        <f>1390</f>
        <v>1390</v>
      </c>
    </row>
    <row r="79" spans="1:2" x14ac:dyDescent="0.25">
      <c r="A79" s="3" t="s">
        <v>74</v>
      </c>
      <c r="B79" s="5">
        <f>2739.01</f>
        <v>2739.01</v>
      </c>
    </row>
    <row r="80" spans="1:2" x14ac:dyDescent="0.25">
      <c r="A80" s="3" t="s">
        <v>75</v>
      </c>
      <c r="B80" s="5">
        <f>295.38</f>
        <v>295.38</v>
      </c>
    </row>
    <row r="81" spans="1:2" x14ac:dyDescent="0.25">
      <c r="A81" s="3" t="s">
        <v>76</v>
      </c>
      <c r="B81" s="6">
        <f>((((B76)+(B77))+(B78))+(B79))+(B80)</f>
        <v>7142.21</v>
      </c>
    </row>
    <row r="82" spans="1:2" x14ac:dyDescent="0.25">
      <c r="A82" s="3" t="s">
        <v>77</v>
      </c>
      <c r="B82" s="4"/>
    </row>
    <row r="83" spans="1:2" x14ac:dyDescent="0.25">
      <c r="A83" s="3" t="s">
        <v>78</v>
      </c>
      <c r="B83" s="5">
        <f>320.54</f>
        <v>320.54000000000002</v>
      </c>
    </row>
    <row r="84" spans="1:2" x14ac:dyDescent="0.25">
      <c r="A84" s="3" t="s">
        <v>79</v>
      </c>
      <c r="B84" s="6">
        <f>(B82)+(B83)</f>
        <v>320.54000000000002</v>
      </c>
    </row>
    <row r="85" spans="1:2" x14ac:dyDescent="0.25">
      <c r="A85" s="3" t="s">
        <v>80</v>
      </c>
      <c r="B85" s="5">
        <f>117</f>
        <v>117</v>
      </c>
    </row>
    <row r="86" spans="1:2" x14ac:dyDescent="0.25">
      <c r="A86" s="3" t="s">
        <v>81</v>
      </c>
      <c r="B86" s="5">
        <f>1421.56</f>
        <v>1421.56</v>
      </c>
    </row>
    <row r="87" spans="1:2" x14ac:dyDescent="0.25">
      <c r="A87" s="3" t="s">
        <v>82</v>
      </c>
      <c r="B87" s="5">
        <f>185</f>
        <v>185</v>
      </c>
    </row>
    <row r="88" spans="1:2" x14ac:dyDescent="0.25">
      <c r="A88" s="3" t="s">
        <v>83</v>
      </c>
      <c r="B88" s="5">
        <f>3006.6</f>
        <v>3006.6</v>
      </c>
    </row>
    <row r="89" spans="1:2" x14ac:dyDescent="0.25">
      <c r="A89" s="3" t="s">
        <v>84</v>
      </c>
      <c r="B89" s="5">
        <f>922.59</f>
        <v>922.59</v>
      </c>
    </row>
    <row r="90" spans="1:2" x14ac:dyDescent="0.25">
      <c r="A90" s="3" t="s">
        <v>85</v>
      </c>
      <c r="B90" s="5">
        <f>65.25</f>
        <v>65.25</v>
      </c>
    </row>
    <row r="91" spans="1:2" x14ac:dyDescent="0.25">
      <c r="A91" s="3" t="s">
        <v>86</v>
      </c>
      <c r="B91" s="5">
        <f>285</f>
        <v>285</v>
      </c>
    </row>
    <row r="92" spans="1:2" x14ac:dyDescent="0.25">
      <c r="A92" s="3" t="s">
        <v>87</v>
      </c>
      <c r="B92" s="6">
        <f>((((((B85)+(B86))+(B87))+(B88))+(B89))+(B90))+(B91)</f>
        <v>6003</v>
      </c>
    </row>
    <row r="93" spans="1:2" x14ac:dyDescent="0.25">
      <c r="A93" s="3" t="s">
        <v>88</v>
      </c>
      <c r="B93" s="4"/>
    </row>
    <row r="94" spans="1:2" x14ac:dyDescent="0.25">
      <c r="A94" s="3" t="s">
        <v>89</v>
      </c>
      <c r="B94" s="5">
        <f>3457.09</f>
        <v>3457.09</v>
      </c>
    </row>
    <row r="95" spans="1:2" x14ac:dyDescent="0.25">
      <c r="A95" s="3" t="s">
        <v>90</v>
      </c>
      <c r="B95" s="5">
        <f>198.69</f>
        <v>198.69</v>
      </c>
    </row>
    <row r="96" spans="1:2" x14ac:dyDescent="0.25">
      <c r="A96" s="3" t="s">
        <v>91</v>
      </c>
      <c r="B96" s="5">
        <f>3670.81</f>
        <v>3670.81</v>
      </c>
    </row>
    <row r="97" spans="1:2" x14ac:dyDescent="0.25">
      <c r="A97" s="3" t="s">
        <v>92</v>
      </c>
      <c r="B97" s="6">
        <f>(((B93)+(B94))+(B95))+(B96)</f>
        <v>7326.59</v>
      </c>
    </row>
    <row r="98" spans="1:2" x14ac:dyDescent="0.25">
      <c r="A98" s="3" t="s">
        <v>93</v>
      </c>
      <c r="B98" s="4"/>
    </row>
    <row r="99" spans="1:2" x14ac:dyDescent="0.25">
      <c r="A99" s="3" t="s">
        <v>94</v>
      </c>
      <c r="B99" s="5">
        <f>2717.96</f>
        <v>2717.96</v>
      </c>
    </row>
    <row r="100" spans="1:2" x14ac:dyDescent="0.25">
      <c r="A100" s="3" t="s">
        <v>95</v>
      </c>
      <c r="B100" s="5">
        <f>3285.11</f>
        <v>3285.11</v>
      </c>
    </row>
    <row r="101" spans="1:2" x14ac:dyDescent="0.25">
      <c r="A101" s="3" t="s">
        <v>96</v>
      </c>
      <c r="B101" s="5">
        <f>14263.71</f>
        <v>14263.71</v>
      </c>
    </row>
    <row r="102" spans="1:2" x14ac:dyDescent="0.25">
      <c r="A102" s="3" t="s">
        <v>97</v>
      </c>
      <c r="B102" s="5">
        <f>2571.26</f>
        <v>2571.2600000000002</v>
      </c>
    </row>
    <row r="103" spans="1:2" x14ac:dyDescent="0.25">
      <c r="A103" s="3" t="s">
        <v>98</v>
      </c>
      <c r="B103" s="5">
        <f>11533.61</f>
        <v>11533.61</v>
      </c>
    </row>
    <row r="104" spans="1:2" x14ac:dyDescent="0.25">
      <c r="A104" s="3" t="s">
        <v>99</v>
      </c>
      <c r="B104" s="5">
        <f>2397.79</f>
        <v>2397.79</v>
      </c>
    </row>
    <row r="105" spans="1:2" x14ac:dyDescent="0.25">
      <c r="A105" s="3" t="s">
        <v>100</v>
      </c>
      <c r="B105" s="5">
        <f>1230.97</f>
        <v>1230.97</v>
      </c>
    </row>
    <row r="106" spans="1:2" x14ac:dyDescent="0.25">
      <c r="A106" s="3" t="s">
        <v>101</v>
      </c>
      <c r="B106" s="5">
        <f>1956.3</f>
        <v>1956.3</v>
      </c>
    </row>
    <row r="107" spans="1:2" x14ac:dyDescent="0.25">
      <c r="A107" s="3" t="s">
        <v>102</v>
      </c>
      <c r="B107" s="5">
        <f>616</f>
        <v>616</v>
      </c>
    </row>
    <row r="108" spans="1:2" x14ac:dyDescent="0.25">
      <c r="A108" s="3" t="s">
        <v>103</v>
      </c>
      <c r="B108" s="5">
        <f>250</f>
        <v>250</v>
      </c>
    </row>
    <row r="109" spans="1:2" x14ac:dyDescent="0.25">
      <c r="A109" s="3" t="s">
        <v>104</v>
      </c>
      <c r="B109" s="5">
        <f>26300</f>
        <v>26300</v>
      </c>
    </row>
    <row r="110" spans="1:2" x14ac:dyDescent="0.25">
      <c r="A110" s="3" t="s">
        <v>105</v>
      </c>
      <c r="B110" s="5">
        <f>8185.94</f>
        <v>8185.94</v>
      </c>
    </row>
    <row r="111" spans="1:2" x14ac:dyDescent="0.25">
      <c r="A111" s="3" t="s">
        <v>106</v>
      </c>
      <c r="B111" s="5">
        <f>710.98</f>
        <v>710.98</v>
      </c>
    </row>
    <row r="112" spans="1:2" x14ac:dyDescent="0.25">
      <c r="A112" s="3" t="s">
        <v>107</v>
      </c>
      <c r="B112" s="5">
        <f>1979.34</f>
        <v>1979.34</v>
      </c>
    </row>
    <row r="113" spans="1:2" x14ac:dyDescent="0.25">
      <c r="A113" s="3" t="s">
        <v>108</v>
      </c>
      <c r="B113" s="5">
        <f>2000</f>
        <v>2000</v>
      </c>
    </row>
    <row r="114" spans="1:2" x14ac:dyDescent="0.25">
      <c r="A114" s="3" t="s">
        <v>109</v>
      </c>
      <c r="B114" s="5">
        <f>48</f>
        <v>48</v>
      </c>
    </row>
    <row r="115" spans="1:2" x14ac:dyDescent="0.25">
      <c r="A115" s="3" t="s">
        <v>110</v>
      </c>
      <c r="B115" s="5">
        <f>-1275</f>
        <v>-1275</v>
      </c>
    </row>
    <row r="116" spans="1:2" x14ac:dyDescent="0.25">
      <c r="A116" s="3" t="s">
        <v>111</v>
      </c>
      <c r="B116" s="6">
        <f>(((((((((((((((((B98)+(B99))+(B100))+(B101))+(B102))+(B103))+(B104))+(B105))+(B106))+(B107))+(B108))+(B109))+(B110))+(B111))+(B112))+(B113))+(B114))+(B115)</f>
        <v>78771.97</v>
      </c>
    </row>
    <row r="117" spans="1:2" x14ac:dyDescent="0.25">
      <c r="A117" s="3" t="s">
        <v>112</v>
      </c>
      <c r="B117" s="6">
        <f>((((((((B43)+(B50))+(B59))+(B75))+(B81))+(B84))+(B92))+(B97))+(B116)</f>
        <v>244128.32</v>
      </c>
    </row>
    <row r="118" spans="1:2" x14ac:dyDescent="0.25">
      <c r="A118" s="3" t="s">
        <v>113</v>
      </c>
      <c r="B118" s="6">
        <f>(B39)-(B117)</f>
        <v>1456.6299999999756</v>
      </c>
    </row>
    <row r="119" spans="1:2" x14ac:dyDescent="0.25">
      <c r="A119" s="3" t="s">
        <v>114</v>
      </c>
      <c r="B119" s="7">
        <f>(B118)+(0)</f>
        <v>1456.6299999999756</v>
      </c>
    </row>
    <row r="120" spans="1:2" x14ac:dyDescent="0.25">
      <c r="A120" s="3"/>
      <c r="B120" s="4"/>
    </row>
    <row r="123" spans="1:2" x14ac:dyDescent="0.25">
      <c r="A123" s="8" t="s">
        <v>115</v>
      </c>
      <c r="B123" s="9"/>
    </row>
  </sheetData>
  <mergeCells count="4">
    <mergeCell ref="A123:B123"/>
    <mergeCell ref="A1:B1"/>
    <mergeCell ref="A2:B2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Profit and Loss</vt:lpstr>
      <vt:lpstr>'Profit and Loss'!Print_Area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Ginger Greaves</cp:lastModifiedBy>
  <cp:lastPrinted>2025-02-20T00:54:34Z</cp:lastPrinted>
  <dcterms:created xsi:type="dcterms:W3CDTF">2025-02-20T00:51:38Z</dcterms:created>
  <dcterms:modified xsi:type="dcterms:W3CDTF">2025-02-20T16:06:33Z</dcterms:modified>
</cp:coreProperties>
</file>