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NGER\Documents\SRPF\BOARD MATERIALS\SHIRLEY'S REPORTS\MONTHLY FINANCIALS\"/>
    </mc:Choice>
  </mc:AlternateContent>
  <xr:revisionPtr revIDLastSave="0" documentId="8_{EF97F544-D0C7-4A43-9967-513554F0AEC9}" xr6:coauthVersionLast="47" xr6:coauthVersionMax="47" xr10:uidLastSave="{00000000-0000-0000-0000-000000000000}"/>
  <bookViews>
    <workbookView xWindow="-120" yWindow="600" windowWidth="19440" windowHeight="10440" xr2:uid="{00000000-000D-0000-FFFF-FFFF00000000}"/>
  </bookViews>
  <sheets>
    <sheet name="Profit and Loss by Month" sheetId="1" r:id="rId1"/>
  </sheets>
  <definedNames>
    <definedName name="_xlnm.Print_Area" localSheetId="0">'Profit and Loss by Month'!$A$1:$F$114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6" i="1" l="1"/>
  <c r="D106" i="1"/>
  <c r="C106" i="1"/>
  <c r="B106" i="1"/>
  <c r="F106" i="1" s="1"/>
  <c r="B105" i="1"/>
  <c r="F105" i="1" s="1"/>
  <c r="D104" i="1"/>
  <c r="C104" i="1"/>
  <c r="B104" i="1"/>
  <c r="F104" i="1" s="1"/>
  <c r="F103" i="1"/>
  <c r="D103" i="1"/>
  <c r="C103" i="1"/>
  <c r="B103" i="1"/>
  <c r="F102" i="1"/>
  <c r="C102" i="1"/>
  <c r="D101" i="1"/>
  <c r="C101" i="1"/>
  <c r="F101" i="1" s="1"/>
  <c r="B101" i="1"/>
  <c r="D100" i="1"/>
  <c r="C100" i="1"/>
  <c r="B100" i="1"/>
  <c r="F100" i="1" s="1"/>
  <c r="B99" i="1"/>
  <c r="F99" i="1" s="1"/>
  <c r="F98" i="1"/>
  <c r="E98" i="1"/>
  <c r="C98" i="1"/>
  <c r="B98" i="1"/>
  <c r="D97" i="1"/>
  <c r="C97" i="1"/>
  <c r="B97" i="1"/>
  <c r="F97" i="1" s="1"/>
  <c r="F96" i="1"/>
  <c r="C96" i="1"/>
  <c r="B96" i="1"/>
  <c r="E95" i="1"/>
  <c r="D95" i="1"/>
  <c r="C95" i="1"/>
  <c r="F95" i="1" s="1"/>
  <c r="D94" i="1"/>
  <c r="F94" i="1" s="1"/>
  <c r="C94" i="1"/>
  <c r="B94" i="1"/>
  <c r="C93" i="1"/>
  <c r="B93" i="1"/>
  <c r="F93" i="1" s="1"/>
  <c r="D92" i="1"/>
  <c r="B92" i="1"/>
  <c r="F92" i="1" s="1"/>
  <c r="D91" i="1"/>
  <c r="C91" i="1"/>
  <c r="B91" i="1"/>
  <c r="F91" i="1" s="1"/>
  <c r="E90" i="1"/>
  <c r="E107" i="1" s="1"/>
  <c r="D90" i="1"/>
  <c r="D107" i="1" s="1"/>
  <c r="C90" i="1"/>
  <c r="C107" i="1" s="1"/>
  <c r="B90" i="1"/>
  <c r="F89" i="1"/>
  <c r="E88" i="1"/>
  <c r="F87" i="1"/>
  <c r="D87" i="1"/>
  <c r="C87" i="1"/>
  <c r="B87" i="1"/>
  <c r="D86" i="1"/>
  <c r="C86" i="1"/>
  <c r="C88" i="1" s="1"/>
  <c r="B86" i="1"/>
  <c r="F86" i="1" s="1"/>
  <c r="F85" i="1"/>
  <c r="E85" i="1"/>
  <c r="D85" i="1"/>
  <c r="D88" i="1" s="1"/>
  <c r="C85" i="1"/>
  <c r="B85" i="1"/>
  <c r="F84" i="1"/>
  <c r="E83" i="1"/>
  <c r="D83" i="1"/>
  <c r="C82" i="1"/>
  <c r="F82" i="1" s="1"/>
  <c r="E81" i="1"/>
  <c r="D81" i="1"/>
  <c r="C81" i="1"/>
  <c r="F81" i="1" s="1"/>
  <c r="B81" i="1"/>
  <c r="E80" i="1"/>
  <c r="D80" i="1"/>
  <c r="C80" i="1"/>
  <c r="C83" i="1" s="1"/>
  <c r="B80" i="1"/>
  <c r="D79" i="1"/>
  <c r="F79" i="1" s="1"/>
  <c r="D78" i="1"/>
  <c r="B78" i="1"/>
  <c r="F78" i="1" s="1"/>
  <c r="F77" i="1"/>
  <c r="B77" i="1"/>
  <c r="B83" i="1" s="1"/>
  <c r="F83" i="1" s="1"/>
  <c r="E76" i="1"/>
  <c r="D76" i="1"/>
  <c r="C76" i="1"/>
  <c r="B76" i="1"/>
  <c r="F76" i="1" s="1"/>
  <c r="E75" i="1"/>
  <c r="F75" i="1" s="1"/>
  <c r="F74" i="1"/>
  <c r="D73" i="1"/>
  <c r="B73" i="1"/>
  <c r="F73" i="1" s="1"/>
  <c r="D72" i="1"/>
  <c r="F72" i="1" s="1"/>
  <c r="E71" i="1"/>
  <c r="D71" i="1"/>
  <c r="C71" i="1"/>
  <c r="F71" i="1" s="1"/>
  <c r="B71" i="1"/>
  <c r="E70" i="1"/>
  <c r="D70" i="1"/>
  <c r="F70" i="1" s="1"/>
  <c r="C70" i="1"/>
  <c r="B70" i="1"/>
  <c r="E69" i="1"/>
  <c r="E73" i="1" s="1"/>
  <c r="D69" i="1"/>
  <c r="C69" i="1"/>
  <c r="C73" i="1" s="1"/>
  <c r="B69" i="1"/>
  <c r="F68" i="1"/>
  <c r="C67" i="1"/>
  <c r="D66" i="1"/>
  <c r="B66" i="1"/>
  <c r="F66" i="1" s="1"/>
  <c r="D65" i="1"/>
  <c r="C65" i="1"/>
  <c r="F65" i="1" s="1"/>
  <c r="F64" i="1"/>
  <c r="E64" i="1"/>
  <c r="D64" i="1"/>
  <c r="C64" i="1"/>
  <c r="B64" i="1"/>
  <c r="F63" i="1"/>
  <c r="E63" i="1"/>
  <c r="E62" i="1"/>
  <c r="F62" i="1" s="1"/>
  <c r="D62" i="1"/>
  <c r="C62" i="1"/>
  <c r="C61" i="1"/>
  <c r="F61" i="1" s="1"/>
  <c r="E60" i="1"/>
  <c r="D60" i="1"/>
  <c r="C60" i="1"/>
  <c r="F60" i="1" s="1"/>
  <c r="B60" i="1"/>
  <c r="F59" i="1"/>
  <c r="E59" i="1"/>
  <c r="E58" i="1"/>
  <c r="D58" i="1"/>
  <c r="C58" i="1"/>
  <c r="B58" i="1"/>
  <c r="F58" i="1" s="1"/>
  <c r="B57" i="1"/>
  <c r="F57" i="1" s="1"/>
  <c r="B56" i="1"/>
  <c r="F56" i="1" s="1"/>
  <c r="E55" i="1"/>
  <c r="D55" i="1"/>
  <c r="D67" i="1" s="1"/>
  <c r="B55" i="1"/>
  <c r="F55" i="1" s="1"/>
  <c r="C54" i="1"/>
  <c r="F54" i="1" s="1"/>
  <c r="B54" i="1"/>
  <c r="E53" i="1"/>
  <c r="E67" i="1" s="1"/>
  <c r="D53" i="1"/>
  <c r="C53" i="1"/>
  <c r="B53" i="1"/>
  <c r="B67" i="1" s="1"/>
  <c r="F52" i="1"/>
  <c r="D51" i="1"/>
  <c r="E50" i="1"/>
  <c r="F50" i="1" s="1"/>
  <c r="C50" i="1"/>
  <c r="B50" i="1"/>
  <c r="E49" i="1"/>
  <c r="D49" i="1"/>
  <c r="C49" i="1"/>
  <c r="B49" i="1"/>
  <c r="F49" i="1" s="1"/>
  <c r="F48" i="1"/>
  <c r="E48" i="1"/>
  <c r="D48" i="1"/>
  <c r="E47" i="1"/>
  <c r="D47" i="1"/>
  <c r="F47" i="1" s="1"/>
  <c r="E46" i="1"/>
  <c r="B46" i="1"/>
  <c r="F46" i="1" s="1"/>
  <c r="E45" i="1"/>
  <c r="E51" i="1" s="1"/>
  <c r="D45" i="1"/>
  <c r="C45" i="1"/>
  <c r="C51" i="1" s="1"/>
  <c r="B45" i="1"/>
  <c r="F45" i="1" s="1"/>
  <c r="F44" i="1"/>
  <c r="E43" i="1"/>
  <c r="E108" i="1" s="1"/>
  <c r="E42" i="1"/>
  <c r="D42" i="1"/>
  <c r="C42" i="1"/>
  <c r="B42" i="1"/>
  <c r="F42" i="1" s="1"/>
  <c r="D41" i="1"/>
  <c r="F41" i="1" s="1"/>
  <c r="C41" i="1"/>
  <c r="E40" i="1"/>
  <c r="D40" i="1"/>
  <c r="C40" i="1"/>
  <c r="C43" i="1" s="1"/>
  <c r="B40" i="1"/>
  <c r="F40" i="1" s="1"/>
  <c r="D39" i="1"/>
  <c r="D43" i="1" s="1"/>
  <c r="F38" i="1"/>
  <c r="E37" i="1"/>
  <c r="D37" i="1"/>
  <c r="C37" i="1"/>
  <c r="B37" i="1"/>
  <c r="F37" i="1" s="1"/>
  <c r="E36" i="1"/>
  <c r="D36" i="1"/>
  <c r="C36" i="1"/>
  <c r="B36" i="1"/>
  <c r="F36" i="1" s="1"/>
  <c r="F35" i="1"/>
  <c r="C31" i="1"/>
  <c r="E30" i="1"/>
  <c r="E31" i="1" s="1"/>
  <c r="D30" i="1"/>
  <c r="D31" i="1" s="1"/>
  <c r="C30" i="1"/>
  <c r="B30" i="1"/>
  <c r="C29" i="1"/>
  <c r="B29" i="1"/>
  <c r="F29" i="1" s="1"/>
  <c r="F28" i="1"/>
  <c r="E27" i="1"/>
  <c r="D26" i="1"/>
  <c r="C26" i="1"/>
  <c r="B26" i="1"/>
  <c r="F26" i="1" s="1"/>
  <c r="F25" i="1"/>
  <c r="D25" i="1"/>
  <c r="C25" i="1"/>
  <c r="B25" i="1"/>
  <c r="E24" i="1"/>
  <c r="D24" i="1"/>
  <c r="C24" i="1"/>
  <c r="B24" i="1"/>
  <c r="F24" i="1" s="1"/>
  <c r="D23" i="1"/>
  <c r="C23" i="1"/>
  <c r="B23" i="1"/>
  <c r="F23" i="1" s="1"/>
  <c r="D22" i="1"/>
  <c r="D27" i="1" s="1"/>
  <c r="C22" i="1"/>
  <c r="C27" i="1" s="1"/>
  <c r="B22" i="1"/>
  <c r="B27" i="1" s="1"/>
  <c r="F21" i="1"/>
  <c r="D20" i="1"/>
  <c r="B20" i="1"/>
  <c r="E19" i="1"/>
  <c r="F19" i="1" s="1"/>
  <c r="E18" i="1"/>
  <c r="E20" i="1" s="1"/>
  <c r="D18" i="1"/>
  <c r="C18" i="1"/>
  <c r="C20" i="1" s="1"/>
  <c r="C32" i="1" s="1"/>
  <c r="C33" i="1" s="1"/>
  <c r="B18" i="1"/>
  <c r="F18" i="1" s="1"/>
  <c r="F17" i="1"/>
  <c r="E16" i="1"/>
  <c r="C16" i="1"/>
  <c r="B16" i="1"/>
  <c r="F15" i="1"/>
  <c r="E15" i="1"/>
  <c r="D15" i="1"/>
  <c r="D14" i="1"/>
  <c r="D16" i="1" s="1"/>
  <c r="F16" i="1" s="1"/>
  <c r="C14" i="1"/>
  <c r="F13" i="1"/>
  <c r="E12" i="1"/>
  <c r="D12" i="1"/>
  <c r="C12" i="1"/>
  <c r="B12" i="1"/>
  <c r="F12" i="1" s="1"/>
  <c r="F11" i="1"/>
  <c r="B11" i="1"/>
  <c r="F10" i="1"/>
  <c r="E9" i="1"/>
  <c r="D9" i="1"/>
  <c r="C9" i="1"/>
  <c r="B9" i="1"/>
  <c r="F9" i="1" s="1"/>
  <c r="F8" i="1"/>
  <c r="E8" i="1"/>
  <c r="D8" i="1"/>
  <c r="C8" i="1"/>
  <c r="F7" i="1"/>
  <c r="F27" i="1" l="1"/>
  <c r="D108" i="1"/>
  <c r="C108" i="1"/>
  <c r="D32" i="1"/>
  <c r="D33" i="1" s="1"/>
  <c r="D109" i="1" s="1"/>
  <c r="D110" i="1" s="1"/>
  <c r="F20" i="1"/>
  <c r="F67" i="1"/>
  <c r="C109" i="1"/>
  <c r="C110" i="1" s="1"/>
  <c r="E32" i="1"/>
  <c r="E33" i="1" s="1"/>
  <c r="E109" i="1" s="1"/>
  <c r="E110" i="1" s="1"/>
  <c r="F30" i="1"/>
  <c r="B51" i="1"/>
  <c r="F51" i="1" s="1"/>
  <c r="F69" i="1"/>
  <c r="B88" i="1"/>
  <c r="F88" i="1" s="1"/>
  <c r="B108" i="1"/>
  <c r="F108" i="1" s="1"/>
  <c r="F22" i="1"/>
  <c r="B31" i="1"/>
  <c r="F31" i="1" s="1"/>
  <c r="F90" i="1"/>
  <c r="B107" i="1"/>
  <c r="F107" i="1" s="1"/>
  <c r="B43" i="1"/>
  <c r="F43" i="1" s="1"/>
  <c r="F53" i="1"/>
  <c r="F80" i="1"/>
  <c r="F14" i="1"/>
  <c r="F39" i="1"/>
  <c r="B32" i="1" l="1"/>
  <c r="F32" i="1" l="1"/>
  <c r="B33" i="1"/>
  <c r="B109" i="1" l="1"/>
  <c r="F33" i="1"/>
  <c r="B110" i="1" l="1"/>
  <c r="F110" i="1" s="1"/>
  <c r="F109" i="1"/>
</calcChain>
</file>

<file path=xl/sharedStrings.xml><?xml version="1.0" encoding="utf-8"?>
<sst xmlns="http://schemas.openxmlformats.org/spreadsheetml/2006/main" count="114" uniqueCount="114">
  <si>
    <t>Jul 2024</t>
  </si>
  <si>
    <t>Aug 2024</t>
  </si>
  <si>
    <t>Sep 2024</t>
  </si>
  <si>
    <t>Oct 2024</t>
  </si>
  <si>
    <t>Total</t>
  </si>
  <si>
    <t>Income</t>
  </si>
  <si>
    <t xml:space="preserve">   4000 Direct contributions</t>
  </si>
  <si>
    <t xml:space="preserve">      4010 Unsolicited contributions</t>
  </si>
  <si>
    <t xml:space="preserve">   Total 4000 Direct contributions</t>
  </si>
  <si>
    <t xml:space="preserve">   4500 Government grants</t>
  </si>
  <si>
    <t xml:space="preserve">      4540 Local government grants</t>
  </si>
  <si>
    <t xml:space="preserve">   Total 4500 Government grants</t>
  </si>
  <si>
    <t xml:space="preserve">   5100 Program-related sales &amp; fees</t>
  </si>
  <si>
    <t xml:space="preserve">      5105 NERF Forum Educational</t>
  </si>
  <si>
    <t xml:space="preserve">      5110 Family Wildlife Day</t>
  </si>
  <si>
    <t xml:space="preserve">   Total 5100 Program-related sales &amp; fees</t>
  </si>
  <si>
    <t xml:space="preserve">   5200 Dues</t>
  </si>
  <si>
    <t xml:space="preserve">      5210 Membership dues-individuals</t>
  </si>
  <si>
    <t xml:space="preserve">      5220 Dues-Corporate Memberships</t>
  </si>
  <si>
    <t xml:space="preserve">   Total 5200 Dues</t>
  </si>
  <si>
    <t xml:space="preserve">   5300 Investment Income</t>
  </si>
  <si>
    <t xml:space="preserve">      5310 Interest-savings &amp; investments</t>
  </si>
  <si>
    <t xml:space="preserve">      5311 Interest -1083 EllisInvestment</t>
  </si>
  <si>
    <t xml:space="preserve">      5320 Dividends &amp; interest-securities</t>
  </si>
  <si>
    <t xml:space="preserve">      5360 Other investment income</t>
  </si>
  <si>
    <t xml:space="preserve">      5361 Other Investment 1083 Ellis</t>
  </si>
  <si>
    <t xml:space="preserve">   Total 5300 Investment Income</t>
  </si>
  <si>
    <t xml:space="preserve">   5800 Events</t>
  </si>
  <si>
    <t xml:space="preserve">      5820 Events - Art show/Concerts</t>
  </si>
  <si>
    <t xml:space="preserve">      5840 Events - CowBoy Julilee</t>
  </si>
  <si>
    <t xml:space="preserve">   Total 5800 Events</t>
  </si>
  <si>
    <t>Total Income</t>
  </si>
  <si>
    <t>Gross Profit</t>
  </si>
  <si>
    <t>Expenses</t>
  </si>
  <si>
    <t xml:space="preserve">   7200 Salaries &amp; related expenses</t>
  </si>
  <si>
    <t xml:space="preserve">      7250 Payroll taxes, etc.</t>
  </si>
  <si>
    <t xml:space="preserve">   Total 7200 Salaries &amp; related expenses</t>
  </si>
  <si>
    <t xml:space="preserve">   7500 Contract service expenses</t>
  </si>
  <si>
    <t xml:space="preserve">      7520 Accounting fees</t>
  </si>
  <si>
    <t xml:space="preserve">      7526 Payroll Tax Preparation</t>
  </si>
  <si>
    <t xml:space="preserve">      7540 Professional fees - other</t>
  </si>
  <si>
    <t xml:space="preserve">      7550 Other Professional- contract</t>
  </si>
  <si>
    <t xml:space="preserve">   Total 7500 Contract service expenses</t>
  </si>
  <si>
    <t xml:space="preserve">   8000 Program related expenses</t>
  </si>
  <si>
    <t xml:space="preserve">      8005 Salaries&amp;Wages - Programs</t>
  </si>
  <si>
    <t xml:space="preserve">      8020 Climate Change (Habitat)</t>
  </si>
  <si>
    <t xml:space="preserve">      8070 Family Wildlife Day</t>
  </si>
  <si>
    <t xml:space="preserve">      8077 NERF Forum</t>
  </si>
  <si>
    <t xml:space="preserve">      8079 Junior Ranger Program</t>
  </si>
  <si>
    <t xml:space="preserve">      8080 Other-Ambassadors</t>
  </si>
  <si>
    <t xml:space="preserve">   Total 8000 Program related expenses</t>
  </si>
  <si>
    <t xml:space="preserve">   8100 Program suppport  expenses</t>
  </si>
  <si>
    <t xml:space="preserve">      8105 Salaries&amp; Wages-Program Support</t>
  </si>
  <si>
    <t xml:space="preserve">      8110 Supplies</t>
  </si>
  <si>
    <t xml:space="preserve">      8120 Website services</t>
  </si>
  <si>
    <t xml:space="preserve">      8125 Annual Membership Mtg expense</t>
  </si>
  <si>
    <t xml:space="preserve">      8140 Postage &amp; shipping</t>
  </si>
  <si>
    <t xml:space="preserve">      8150 Social Media/Newsletters</t>
  </si>
  <si>
    <t xml:space="preserve">      8170 Printing &amp; copying</t>
  </si>
  <si>
    <t xml:space="preserve">      8171 Member education</t>
  </si>
  <si>
    <t xml:space="preserve">      8172 Program Evaluation</t>
  </si>
  <si>
    <t xml:space="preserve">      8180 Volunteer education</t>
  </si>
  <si>
    <t xml:space="preserve">      8181 Donor education</t>
  </si>
  <si>
    <t xml:space="preserve">      8190 Exec. Dir. mileage expense</t>
  </si>
  <si>
    <t xml:space="preserve">      8191 Chamber of Commerce expense</t>
  </si>
  <si>
    <t xml:space="preserve">      8195 Other expense</t>
  </si>
  <si>
    <t xml:space="preserve">   Total 8100 Program suppport  expenses</t>
  </si>
  <si>
    <t xml:space="preserve">   8200 Administrative expenses</t>
  </si>
  <si>
    <t xml:space="preserve">      8205 Salaries&amp;Wages-Administration</t>
  </si>
  <si>
    <t xml:space="preserve">      8221 Utilities</t>
  </si>
  <si>
    <t xml:space="preserve">      8225 Telephone expense</t>
  </si>
  <si>
    <t xml:space="preserve">      8226 Postage expense</t>
  </si>
  <si>
    <t xml:space="preserve">   Total 8200 Administrative expenses</t>
  </si>
  <si>
    <t xml:space="preserve">   8300 Administrative Travel &amp; meeting</t>
  </si>
  <si>
    <t xml:space="preserve">      8350 Grant development expense</t>
  </si>
  <si>
    <t xml:space="preserve">   Total 8300 Administrative Travel &amp; meeting</t>
  </si>
  <si>
    <t xml:space="preserve">   8500 Administrative Other expenses</t>
  </si>
  <si>
    <t xml:space="preserve">      8515 Insurance - General Liab &amp; D&amp;O</t>
  </si>
  <si>
    <t xml:space="preserve">      8520 Insurance - Workers Comp</t>
  </si>
  <si>
    <t xml:space="preserve">      8560 Outside computer services</t>
  </si>
  <si>
    <t xml:space="preserve">      8565 Office supplies</t>
  </si>
  <si>
    <t xml:space="preserve">      8590 Other expenses</t>
  </si>
  <si>
    <t xml:space="preserve">   Total 8500 Administrative Other expenses</t>
  </si>
  <si>
    <t xml:space="preserve">   8600 Administrative Bus    expenses</t>
  </si>
  <si>
    <t xml:space="preserve">      8610 Bank fee-credit card</t>
  </si>
  <si>
    <t xml:space="preserve">      8611 Service Fee-Investments</t>
  </si>
  <si>
    <t xml:space="preserve">      8612 Service Fee-Invest 1083 Ellis</t>
  </si>
  <si>
    <t xml:space="preserve">   Total 8600 Administrative Bus    expenses</t>
  </si>
  <si>
    <t xml:space="preserve">   8700 Fund Raising Event expenses</t>
  </si>
  <si>
    <t xml:space="preserve">      8705 Salaries &amp; Wages - Fund Raising</t>
  </si>
  <si>
    <t xml:space="preserve">      8710 Supplies expense</t>
  </si>
  <si>
    <t xml:space="preserve">      8720 Rental expense</t>
  </si>
  <si>
    <t xml:space="preserve">      8725 Trolley-transport</t>
  </si>
  <si>
    <t xml:space="preserve">      8730 Food</t>
  </si>
  <si>
    <t xml:space="preserve">      8740 Drinks</t>
  </si>
  <si>
    <t xml:space="preserve">      8745 Marketing</t>
  </si>
  <si>
    <t xml:space="preserve">      8750 Printing</t>
  </si>
  <si>
    <t xml:space="preserve">      8755 Advertising</t>
  </si>
  <si>
    <t xml:space="preserve">      8760 Signage</t>
  </si>
  <si>
    <t xml:space="preserve">      8780 Entertainment</t>
  </si>
  <si>
    <t xml:space="preserve">      8784 Logistics</t>
  </si>
  <si>
    <t xml:space="preserve">      8785 Merchant Fees</t>
  </si>
  <si>
    <t xml:space="preserve">      8790 Other</t>
  </si>
  <si>
    <t xml:space="preserve">      8791 Other - Salaries &amp; Wages</t>
  </si>
  <si>
    <t xml:space="preserve">      8792 TOH - Pop up dinner/Kodi Concert</t>
  </si>
  <si>
    <t xml:space="preserve">      8799 Miscellaneous-In/Out</t>
  </si>
  <si>
    <t xml:space="preserve">   Total 8700 Fund Raising Event expenses</t>
  </si>
  <si>
    <t>Total Expenses</t>
  </si>
  <si>
    <t>Tuesday, Nov 19, 2024 03:17:16 PM GMT-8 - Cash Basis</t>
  </si>
  <si>
    <t>Santa Rosa Plateau Foundation</t>
  </si>
  <si>
    <t>Profit and Loss by Month</t>
  </si>
  <si>
    <t>July - October, 2024</t>
  </si>
  <si>
    <t>Net Operating Income/Loss</t>
  </si>
  <si>
    <t>Net Income/Loss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</si>
</sst>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7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65" fontId="6" fillId="0" borderId="2" xfId="0" applyNumberFormat="1" applyFont="1" applyBorder="1" applyAlignment="1">
      <alignment horizontal="right" wrapText="1"/>
    </xf>
    <xf numFmtId="165" fontId="6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4"/>
  <sheetViews>
    <sheetView tabSelected="1" workbookViewId="0">
      <selection sqref="A1:F1"/>
    </sheetView>
  </sheetViews>
  <sheetFormatPr defaultRowHeight="15" x14ac:dyDescent="0.25"/>
  <cols>
    <col min="1" max="1" width="39.5703125" customWidth="1"/>
    <col min="2" max="2" width="11.140625" customWidth="1"/>
    <col min="3" max="3" width="9.42578125" customWidth="1"/>
    <col min="4" max="6" width="11.140625" customWidth="1"/>
  </cols>
  <sheetData>
    <row r="1" spans="1:6" ht="18" x14ac:dyDescent="0.25">
      <c r="A1" s="12" t="s">
        <v>109</v>
      </c>
      <c r="B1" s="11"/>
      <c r="C1" s="11"/>
      <c r="D1" s="11"/>
      <c r="E1" s="11"/>
      <c r="F1" s="11"/>
    </row>
    <row r="2" spans="1:6" ht="18" x14ac:dyDescent="0.25">
      <c r="A2" s="12" t="s">
        <v>110</v>
      </c>
      <c r="B2" s="11"/>
      <c r="C2" s="11"/>
      <c r="D2" s="11"/>
      <c r="E2" s="11"/>
      <c r="F2" s="11"/>
    </row>
    <row r="3" spans="1:6" x14ac:dyDescent="0.25">
      <c r="A3" s="13" t="s">
        <v>111</v>
      </c>
      <c r="B3" s="11"/>
      <c r="C3" s="11"/>
      <c r="D3" s="11"/>
      <c r="E3" s="11"/>
      <c r="F3" s="11"/>
    </row>
    <row r="5" spans="1:6" x14ac:dyDescent="0.25">
      <c r="A5" s="1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</row>
    <row r="6" spans="1:6" x14ac:dyDescent="0.25">
      <c r="A6" s="3" t="s">
        <v>5</v>
      </c>
      <c r="B6" s="4"/>
      <c r="C6" s="4"/>
      <c r="D6" s="4"/>
      <c r="E6" s="4"/>
      <c r="F6" s="4"/>
    </row>
    <row r="7" spans="1:6" x14ac:dyDescent="0.25">
      <c r="A7" s="3" t="s">
        <v>6</v>
      </c>
      <c r="B7" s="4"/>
      <c r="C7" s="4"/>
      <c r="D7" s="4"/>
      <c r="E7" s="4"/>
      <c r="F7" s="5">
        <f t="shared" ref="F7:F33" si="0">(((B7)+(C7))+(D7))+(E7)</f>
        <v>0</v>
      </c>
    </row>
    <row r="8" spans="1:6" x14ac:dyDescent="0.25">
      <c r="A8" s="3" t="s">
        <v>7</v>
      </c>
      <c r="B8" s="4"/>
      <c r="C8" s="5">
        <f>933.73</f>
        <v>933.73</v>
      </c>
      <c r="D8" s="5">
        <f>565.73</f>
        <v>565.73</v>
      </c>
      <c r="E8" s="5">
        <f>586.52</f>
        <v>586.52</v>
      </c>
      <c r="F8" s="5">
        <f t="shared" si="0"/>
        <v>2085.98</v>
      </c>
    </row>
    <row r="9" spans="1:6" x14ac:dyDescent="0.25">
      <c r="A9" s="3" t="s">
        <v>8</v>
      </c>
      <c r="B9" s="6">
        <f>(B7)+(B8)</f>
        <v>0</v>
      </c>
      <c r="C9" s="6">
        <f>(C7)+(C8)</f>
        <v>933.73</v>
      </c>
      <c r="D9" s="6">
        <f>(D7)+(D8)</f>
        <v>565.73</v>
      </c>
      <c r="E9" s="6">
        <f>(E7)+(E8)</f>
        <v>586.52</v>
      </c>
      <c r="F9" s="6">
        <f t="shared" si="0"/>
        <v>2085.98</v>
      </c>
    </row>
    <row r="10" spans="1:6" x14ac:dyDescent="0.25">
      <c r="A10" s="3" t="s">
        <v>9</v>
      </c>
      <c r="B10" s="4"/>
      <c r="C10" s="4"/>
      <c r="D10" s="4"/>
      <c r="E10" s="4"/>
      <c r="F10" s="5">
        <f t="shared" si="0"/>
        <v>0</v>
      </c>
    </row>
    <row r="11" spans="1:6" x14ac:dyDescent="0.25">
      <c r="A11" s="3" t="s">
        <v>10</v>
      </c>
      <c r="B11" s="5">
        <f>8000</f>
        <v>8000</v>
      </c>
      <c r="C11" s="4"/>
      <c r="D11" s="4"/>
      <c r="E11" s="4"/>
      <c r="F11" s="5">
        <f t="shared" si="0"/>
        <v>8000</v>
      </c>
    </row>
    <row r="12" spans="1:6" x14ac:dyDescent="0.25">
      <c r="A12" s="3" t="s">
        <v>11</v>
      </c>
      <c r="B12" s="6">
        <f>(B10)+(B11)</f>
        <v>8000</v>
      </c>
      <c r="C12" s="6">
        <f>(C10)+(C11)</f>
        <v>0</v>
      </c>
      <c r="D12" s="6">
        <f>(D10)+(D11)</f>
        <v>0</v>
      </c>
      <c r="E12" s="6">
        <f>(E10)+(E11)</f>
        <v>0</v>
      </c>
      <c r="F12" s="6">
        <f t="shared" si="0"/>
        <v>8000</v>
      </c>
    </row>
    <row r="13" spans="1:6" x14ac:dyDescent="0.25">
      <c r="A13" s="3" t="s">
        <v>12</v>
      </c>
      <c r="B13" s="4"/>
      <c r="C13" s="4"/>
      <c r="D13" s="4"/>
      <c r="E13" s="4"/>
      <c r="F13" s="5">
        <f t="shared" si="0"/>
        <v>0</v>
      </c>
    </row>
    <row r="14" spans="1:6" x14ac:dyDescent="0.25">
      <c r="A14" s="3" t="s">
        <v>13</v>
      </c>
      <c r="B14" s="4"/>
      <c r="C14" s="5">
        <f>532</f>
        <v>532</v>
      </c>
      <c r="D14" s="5">
        <f>64</f>
        <v>64</v>
      </c>
      <c r="E14" s="4"/>
      <c r="F14" s="5">
        <f t="shared" si="0"/>
        <v>596</v>
      </c>
    </row>
    <row r="15" spans="1:6" x14ac:dyDescent="0.25">
      <c r="A15" s="3" t="s">
        <v>14</v>
      </c>
      <c r="B15" s="4"/>
      <c r="C15" s="4"/>
      <c r="D15" s="5">
        <f>24</f>
        <v>24</v>
      </c>
      <c r="E15" s="5">
        <f>684</f>
        <v>684</v>
      </c>
      <c r="F15" s="5">
        <f t="shared" si="0"/>
        <v>708</v>
      </c>
    </row>
    <row r="16" spans="1:6" x14ac:dyDescent="0.25">
      <c r="A16" s="3" t="s">
        <v>15</v>
      </c>
      <c r="B16" s="6">
        <f>((B13)+(B14))+(B15)</f>
        <v>0</v>
      </c>
      <c r="C16" s="6">
        <f>((C13)+(C14))+(C15)</f>
        <v>532</v>
      </c>
      <c r="D16" s="6">
        <f>((D13)+(D14))+(D15)</f>
        <v>88</v>
      </c>
      <c r="E16" s="6">
        <f>((E13)+(E14))+(E15)</f>
        <v>684</v>
      </c>
      <c r="F16" s="6">
        <f t="shared" si="0"/>
        <v>1304</v>
      </c>
    </row>
    <row r="17" spans="1:6" x14ac:dyDescent="0.25">
      <c r="A17" s="3" t="s">
        <v>16</v>
      </c>
      <c r="B17" s="4"/>
      <c r="C17" s="4"/>
      <c r="D17" s="4"/>
      <c r="E17" s="4"/>
      <c r="F17" s="5">
        <f t="shared" si="0"/>
        <v>0</v>
      </c>
    </row>
    <row r="18" spans="1:6" x14ac:dyDescent="0.25">
      <c r="A18" s="3" t="s">
        <v>17</v>
      </c>
      <c r="B18" s="5">
        <f>5010</f>
        <v>5010</v>
      </c>
      <c r="C18" s="5">
        <f>2665</f>
        <v>2665</v>
      </c>
      <c r="D18" s="5">
        <f>4770</f>
        <v>4770</v>
      </c>
      <c r="E18" s="5">
        <f>4180</f>
        <v>4180</v>
      </c>
      <c r="F18" s="5">
        <f t="shared" si="0"/>
        <v>16625</v>
      </c>
    </row>
    <row r="19" spans="1:6" x14ac:dyDescent="0.25">
      <c r="A19" s="3" t="s">
        <v>18</v>
      </c>
      <c r="B19" s="4"/>
      <c r="C19" s="4"/>
      <c r="D19" s="4"/>
      <c r="E19" s="5">
        <f>2000</f>
        <v>2000</v>
      </c>
      <c r="F19" s="5">
        <f t="shared" si="0"/>
        <v>2000</v>
      </c>
    </row>
    <row r="20" spans="1:6" x14ac:dyDescent="0.25">
      <c r="A20" s="3" t="s">
        <v>19</v>
      </c>
      <c r="B20" s="6">
        <f>((B17)+(B18))+(B19)</f>
        <v>5010</v>
      </c>
      <c r="C20" s="6">
        <f>((C17)+(C18))+(C19)</f>
        <v>2665</v>
      </c>
      <c r="D20" s="6">
        <f>((D17)+(D18))+(D19)</f>
        <v>4770</v>
      </c>
      <c r="E20" s="6">
        <f>((E17)+(E18))+(E19)</f>
        <v>6180</v>
      </c>
      <c r="F20" s="6">
        <f t="shared" si="0"/>
        <v>18625</v>
      </c>
    </row>
    <row r="21" spans="1:6" x14ac:dyDescent="0.25">
      <c r="A21" s="3" t="s">
        <v>20</v>
      </c>
      <c r="B21" s="4"/>
      <c r="C21" s="4"/>
      <c r="D21" s="4"/>
      <c r="E21" s="4"/>
      <c r="F21" s="5">
        <f t="shared" si="0"/>
        <v>0</v>
      </c>
    </row>
    <row r="22" spans="1:6" x14ac:dyDescent="0.25">
      <c r="A22" s="3" t="s">
        <v>21</v>
      </c>
      <c r="B22" s="5">
        <f>29.28</f>
        <v>29.28</v>
      </c>
      <c r="C22" s="5">
        <f>31.87</f>
        <v>31.87</v>
      </c>
      <c r="D22" s="5">
        <f>100.63</f>
        <v>100.63</v>
      </c>
      <c r="E22" s="4"/>
      <c r="F22" s="5">
        <f t="shared" si="0"/>
        <v>161.78</v>
      </c>
    </row>
    <row r="23" spans="1:6" x14ac:dyDescent="0.25">
      <c r="A23" s="3" t="s">
        <v>22</v>
      </c>
      <c r="B23" s="5">
        <f>559.32</f>
        <v>559.32000000000005</v>
      </c>
      <c r="C23" s="5">
        <f>608.84</f>
        <v>608.84</v>
      </c>
      <c r="D23" s="5">
        <f>1923.22</f>
        <v>1923.22</v>
      </c>
      <c r="E23" s="4"/>
      <c r="F23" s="5">
        <f t="shared" si="0"/>
        <v>3091.38</v>
      </c>
    </row>
    <row r="24" spans="1:6" x14ac:dyDescent="0.25">
      <c r="A24" s="3" t="s">
        <v>23</v>
      </c>
      <c r="B24" s="5">
        <f>3.95</f>
        <v>3.95</v>
      </c>
      <c r="C24" s="5">
        <f>3.29</f>
        <v>3.29</v>
      </c>
      <c r="D24" s="5">
        <f>2.45</f>
        <v>2.4500000000000002</v>
      </c>
      <c r="E24" s="5">
        <f>1.87</f>
        <v>1.87</v>
      </c>
      <c r="F24" s="5">
        <f t="shared" si="0"/>
        <v>11.560000000000002</v>
      </c>
    </row>
    <row r="25" spans="1:6" x14ac:dyDescent="0.25">
      <c r="A25" s="3" t="s">
        <v>24</v>
      </c>
      <c r="B25" s="5">
        <f>677</f>
        <v>677</v>
      </c>
      <c r="C25" s="5">
        <f>625.59</f>
        <v>625.59</v>
      </c>
      <c r="D25" s="5">
        <f>562.18</f>
        <v>562.17999999999995</v>
      </c>
      <c r="E25" s="4"/>
      <c r="F25" s="5">
        <f t="shared" si="0"/>
        <v>1864.77</v>
      </c>
    </row>
    <row r="26" spans="1:6" x14ac:dyDescent="0.25">
      <c r="A26" s="3" t="s">
        <v>25</v>
      </c>
      <c r="B26" s="5">
        <f>12936.42</f>
        <v>12936.42</v>
      </c>
      <c r="C26" s="5">
        <f>11953.44</f>
        <v>11953.44</v>
      </c>
      <c r="D26" s="5">
        <f>10741.53</f>
        <v>10741.53</v>
      </c>
      <c r="E26" s="4"/>
      <c r="F26" s="5">
        <f t="shared" si="0"/>
        <v>35631.39</v>
      </c>
    </row>
    <row r="27" spans="1:6" x14ac:dyDescent="0.25">
      <c r="A27" s="3" t="s">
        <v>26</v>
      </c>
      <c r="B27" s="6">
        <f>(((((B21)+(B22))+(B23))+(B24))+(B25))+(B26)</f>
        <v>14205.970000000001</v>
      </c>
      <c r="C27" s="6">
        <f>(((((C21)+(C22))+(C23))+(C24))+(C25))+(C26)</f>
        <v>13223.03</v>
      </c>
      <c r="D27" s="6">
        <f>(((((D21)+(D22))+(D23))+(D24))+(D25))+(D26)</f>
        <v>13330.01</v>
      </c>
      <c r="E27" s="6">
        <f>(((((E21)+(E22))+(E23))+(E24))+(E25))+(E26)</f>
        <v>1.87</v>
      </c>
      <c r="F27" s="6">
        <f t="shared" si="0"/>
        <v>40760.880000000005</v>
      </c>
    </row>
    <row r="28" spans="1:6" x14ac:dyDescent="0.25">
      <c r="A28" s="3" t="s">
        <v>27</v>
      </c>
      <c r="B28" s="4"/>
      <c r="C28" s="4"/>
      <c r="D28" s="4"/>
      <c r="E28" s="4"/>
      <c r="F28" s="5">
        <f t="shared" si="0"/>
        <v>0</v>
      </c>
    </row>
    <row r="29" spans="1:6" x14ac:dyDescent="0.25">
      <c r="A29" s="3" t="s">
        <v>28</v>
      </c>
      <c r="B29" s="5">
        <f>34374.32</f>
        <v>34374.32</v>
      </c>
      <c r="C29" s="5">
        <f>13488.2</f>
        <v>13488.2</v>
      </c>
      <c r="D29" s="4"/>
      <c r="E29" s="4"/>
      <c r="F29" s="5">
        <f t="shared" si="0"/>
        <v>47862.520000000004</v>
      </c>
    </row>
    <row r="30" spans="1:6" x14ac:dyDescent="0.25">
      <c r="A30" s="3" t="s">
        <v>29</v>
      </c>
      <c r="B30" s="5">
        <f>221</f>
        <v>221</v>
      </c>
      <c r="C30" s="5">
        <f>7016.83</f>
        <v>7016.83</v>
      </c>
      <c r="D30" s="5">
        <f>17159.48</f>
        <v>17159.48</v>
      </c>
      <c r="E30" s="5">
        <f>253.27</f>
        <v>253.27</v>
      </c>
      <c r="F30" s="5">
        <f t="shared" si="0"/>
        <v>24650.579999999998</v>
      </c>
    </row>
    <row r="31" spans="1:6" x14ac:dyDescent="0.25">
      <c r="A31" s="3" t="s">
        <v>30</v>
      </c>
      <c r="B31" s="6">
        <f>((B28)+(B29))+(B30)</f>
        <v>34595.32</v>
      </c>
      <c r="C31" s="6">
        <f>((C28)+(C29))+(C30)</f>
        <v>20505.03</v>
      </c>
      <c r="D31" s="6">
        <f>((D28)+(D29))+(D30)</f>
        <v>17159.48</v>
      </c>
      <c r="E31" s="6">
        <f>((E28)+(E29))+(E30)</f>
        <v>253.27</v>
      </c>
      <c r="F31" s="6">
        <f t="shared" si="0"/>
        <v>72513.100000000006</v>
      </c>
    </row>
    <row r="32" spans="1:6" x14ac:dyDescent="0.25">
      <c r="A32" s="3" t="s">
        <v>31</v>
      </c>
      <c r="B32" s="6">
        <f>(((((B9)+(B12))+(B16))+(B20))+(B27))+(B31)</f>
        <v>61811.29</v>
      </c>
      <c r="C32" s="6">
        <f>(((((C9)+(C12))+(C16))+(C20))+(C27))+(C31)</f>
        <v>37858.79</v>
      </c>
      <c r="D32" s="6">
        <f>(((((D9)+(D12))+(D16))+(D20))+(D27))+(D31)</f>
        <v>35913.22</v>
      </c>
      <c r="E32" s="6">
        <f>(((((E9)+(E12))+(E16))+(E20))+(E27))+(E31)</f>
        <v>7705.6600000000008</v>
      </c>
      <c r="F32" s="6">
        <f t="shared" si="0"/>
        <v>143288.95999999999</v>
      </c>
    </row>
    <row r="33" spans="1:6" x14ac:dyDescent="0.25">
      <c r="A33" s="3" t="s">
        <v>32</v>
      </c>
      <c r="B33" s="6">
        <f>(B32)-(0)</f>
        <v>61811.29</v>
      </c>
      <c r="C33" s="6">
        <f>(C32)-(0)</f>
        <v>37858.79</v>
      </c>
      <c r="D33" s="6">
        <f>(D32)-(0)</f>
        <v>35913.22</v>
      </c>
      <c r="E33" s="6">
        <f>(E32)-(0)</f>
        <v>7705.6600000000008</v>
      </c>
      <c r="F33" s="6">
        <f t="shared" si="0"/>
        <v>143288.95999999999</v>
      </c>
    </row>
    <row r="34" spans="1:6" x14ac:dyDescent="0.25">
      <c r="A34" s="3" t="s">
        <v>33</v>
      </c>
      <c r="B34" s="4"/>
      <c r="C34" s="4"/>
      <c r="D34" s="4"/>
      <c r="E34" s="4"/>
      <c r="F34" s="4"/>
    </row>
    <row r="35" spans="1:6" x14ac:dyDescent="0.25">
      <c r="A35" s="3" t="s">
        <v>34</v>
      </c>
      <c r="B35" s="4"/>
      <c r="C35" s="4"/>
      <c r="D35" s="4"/>
      <c r="E35" s="4"/>
      <c r="F35" s="5">
        <f t="shared" ref="F35:F66" si="1">(((B35)+(C35))+(D35))+(E35)</f>
        <v>0</v>
      </c>
    </row>
    <row r="36" spans="1:6" x14ac:dyDescent="0.25">
      <c r="A36" s="3" t="s">
        <v>35</v>
      </c>
      <c r="B36" s="5">
        <f>1078.79</f>
        <v>1078.79</v>
      </c>
      <c r="C36" s="5">
        <f>962.21</f>
        <v>962.21</v>
      </c>
      <c r="D36" s="5">
        <f>943.9</f>
        <v>943.9</v>
      </c>
      <c r="E36" s="5">
        <f>928.27</f>
        <v>928.27</v>
      </c>
      <c r="F36" s="5">
        <f t="shared" si="1"/>
        <v>3913.17</v>
      </c>
    </row>
    <row r="37" spans="1:6" x14ac:dyDescent="0.25">
      <c r="A37" s="3" t="s">
        <v>36</v>
      </c>
      <c r="B37" s="6">
        <f>(B35)+(B36)</f>
        <v>1078.79</v>
      </c>
      <c r="C37" s="6">
        <f>(C35)+(C36)</f>
        <v>962.21</v>
      </c>
      <c r="D37" s="6">
        <f>(D35)+(D36)</f>
        <v>943.9</v>
      </c>
      <c r="E37" s="6">
        <f>(E35)+(E36)</f>
        <v>928.27</v>
      </c>
      <c r="F37" s="6">
        <f t="shared" si="1"/>
        <v>3913.17</v>
      </c>
    </row>
    <row r="38" spans="1:6" x14ac:dyDescent="0.25">
      <c r="A38" s="3" t="s">
        <v>37</v>
      </c>
      <c r="B38" s="4"/>
      <c r="C38" s="4"/>
      <c r="D38" s="4"/>
      <c r="E38" s="4"/>
      <c r="F38" s="5">
        <f t="shared" si="1"/>
        <v>0</v>
      </c>
    </row>
    <row r="39" spans="1:6" x14ac:dyDescent="0.25">
      <c r="A39" s="3" t="s">
        <v>38</v>
      </c>
      <c r="B39" s="4"/>
      <c r="C39" s="4"/>
      <c r="D39" s="5">
        <f>150</f>
        <v>150</v>
      </c>
      <c r="E39" s="4"/>
      <c r="F39" s="5">
        <f t="shared" si="1"/>
        <v>150</v>
      </c>
    </row>
    <row r="40" spans="1:6" x14ac:dyDescent="0.25">
      <c r="A40" s="3" t="s">
        <v>39</v>
      </c>
      <c r="B40" s="5">
        <f>215</f>
        <v>215</v>
      </c>
      <c r="C40" s="5">
        <f>231</f>
        <v>231</v>
      </c>
      <c r="D40" s="5">
        <f>235</f>
        <v>235</v>
      </c>
      <c r="E40" s="5">
        <f>227</f>
        <v>227</v>
      </c>
      <c r="F40" s="5">
        <f t="shared" si="1"/>
        <v>908</v>
      </c>
    </row>
    <row r="41" spans="1:6" x14ac:dyDescent="0.25">
      <c r="A41" s="3" t="s">
        <v>40</v>
      </c>
      <c r="B41" s="4"/>
      <c r="C41" s="5">
        <f>3565.15</f>
        <v>3565.15</v>
      </c>
      <c r="D41" s="5">
        <f>6605.7</f>
        <v>6605.7</v>
      </c>
      <c r="E41" s="4"/>
      <c r="F41" s="5">
        <f t="shared" si="1"/>
        <v>10170.85</v>
      </c>
    </row>
    <row r="42" spans="1:6" x14ac:dyDescent="0.25">
      <c r="A42" s="3" t="s">
        <v>41</v>
      </c>
      <c r="B42" s="5">
        <f>600</f>
        <v>600</v>
      </c>
      <c r="C42" s="5">
        <f>600</f>
        <v>600</v>
      </c>
      <c r="D42" s="5">
        <f>607.68</f>
        <v>607.67999999999995</v>
      </c>
      <c r="E42" s="5">
        <f>600</f>
        <v>600</v>
      </c>
      <c r="F42" s="5">
        <f t="shared" si="1"/>
        <v>2407.6799999999998</v>
      </c>
    </row>
    <row r="43" spans="1:6" x14ac:dyDescent="0.25">
      <c r="A43" s="3" t="s">
        <v>42</v>
      </c>
      <c r="B43" s="6">
        <f>((((B38)+(B39))+(B40))+(B41))+(B42)</f>
        <v>815</v>
      </c>
      <c r="C43" s="6">
        <f>((((C38)+(C39))+(C40))+(C41))+(C42)</f>
        <v>4396.1499999999996</v>
      </c>
      <c r="D43" s="6">
        <f>((((D38)+(D39))+(D40))+(D41))+(D42)</f>
        <v>7598.38</v>
      </c>
      <c r="E43" s="6">
        <f>((((E38)+(E39))+(E40))+(E41))+(E42)</f>
        <v>827</v>
      </c>
      <c r="F43" s="6">
        <f t="shared" si="1"/>
        <v>13636.529999999999</v>
      </c>
    </row>
    <row r="44" spans="1:6" x14ac:dyDescent="0.25">
      <c r="A44" s="3" t="s">
        <v>43</v>
      </c>
      <c r="B44" s="4"/>
      <c r="C44" s="4"/>
      <c r="D44" s="4"/>
      <c r="E44" s="4"/>
      <c r="F44" s="5">
        <f t="shared" si="1"/>
        <v>0</v>
      </c>
    </row>
    <row r="45" spans="1:6" x14ac:dyDescent="0.25">
      <c r="A45" s="3" t="s">
        <v>44</v>
      </c>
      <c r="B45" s="5">
        <f>4770.14</f>
        <v>4770.1400000000003</v>
      </c>
      <c r="C45" s="5">
        <f>4770.14</f>
        <v>4770.1400000000003</v>
      </c>
      <c r="D45" s="5">
        <f>4770.14</f>
        <v>4770.1400000000003</v>
      </c>
      <c r="E45" s="5">
        <f>4770.14</f>
        <v>4770.1400000000003</v>
      </c>
      <c r="F45" s="5">
        <f t="shared" si="1"/>
        <v>19080.560000000001</v>
      </c>
    </row>
    <row r="46" spans="1:6" x14ac:dyDescent="0.25">
      <c r="A46" s="3" t="s">
        <v>45</v>
      </c>
      <c r="B46" s="5">
        <f>5571.19</f>
        <v>5571.19</v>
      </c>
      <c r="C46" s="4"/>
      <c r="D46" s="4"/>
      <c r="E46" s="5">
        <f>48</f>
        <v>48</v>
      </c>
      <c r="F46" s="5">
        <f t="shared" si="1"/>
        <v>5619.19</v>
      </c>
    </row>
    <row r="47" spans="1:6" x14ac:dyDescent="0.25">
      <c r="A47" s="3" t="s">
        <v>46</v>
      </c>
      <c r="B47" s="4"/>
      <c r="C47" s="4"/>
      <c r="D47" s="5">
        <f>136.13</f>
        <v>136.13</v>
      </c>
      <c r="E47" s="5">
        <f>946.67</f>
        <v>946.67</v>
      </c>
      <c r="F47" s="5">
        <f t="shared" si="1"/>
        <v>1082.8</v>
      </c>
    </row>
    <row r="48" spans="1:6" x14ac:dyDescent="0.25">
      <c r="A48" s="3" t="s">
        <v>47</v>
      </c>
      <c r="B48" s="4"/>
      <c r="C48" s="4"/>
      <c r="D48" s="5">
        <f>592.84</f>
        <v>592.84</v>
      </c>
      <c r="E48" s="5">
        <f>225</f>
        <v>225</v>
      </c>
      <c r="F48" s="5">
        <f t="shared" si="1"/>
        <v>817.84</v>
      </c>
    </row>
    <row r="49" spans="1:6" x14ac:dyDescent="0.25">
      <c r="A49" s="3" t="s">
        <v>48</v>
      </c>
      <c r="B49" s="5">
        <f>366.42</f>
        <v>366.42</v>
      </c>
      <c r="C49" s="5">
        <f>141.38</f>
        <v>141.38</v>
      </c>
      <c r="D49" s="5">
        <f>224</f>
        <v>224</v>
      </c>
      <c r="E49" s="5">
        <f>82.5</f>
        <v>82.5</v>
      </c>
      <c r="F49" s="5">
        <f t="shared" si="1"/>
        <v>814.3</v>
      </c>
    </row>
    <row r="50" spans="1:6" x14ac:dyDescent="0.25">
      <c r="A50" s="3" t="s">
        <v>49</v>
      </c>
      <c r="B50" s="5">
        <f>240.38</f>
        <v>240.38</v>
      </c>
      <c r="C50" s="5">
        <f>692.5</f>
        <v>692.5</v>
      </c>
      <c r="D50" s="4"/>
      <c r="E50" s="5">
        <f>45</f>
        <v>45</v>
      </c>
      <c r="F50" s="5">
        <f t="shared" si="1"/>
        <v>977.88</v>
      </c>
    </row>
    <row r="51" spans="1:6" x14ac:dyDescent="0.25">
      <c r="A51" s="3" t="s">
        <v>50</v>
      </c>
      <c r="B51" s="6">
        <f>((((((B44)+(B45))+(B46))+(B47))+(B48))+(B49))+(B50)</f>
        <v>10948.13</v>
      </c>
      <c r="C51" s="6">
        <f>((((((C44)+(C45))+(C46))+(C47))+(C48))+(C49))+(C50)</f>
        <v>5604.02</v>
      </c>
      <c r="D51" s="6">
        <f>((((((D44)+(D45))+(D46))+(D47))+(D48))+(D49))+(D50)</f>
        <v>5723.1100000000006</v>
      </c>
      <c r="E51" s="6">
        <f>((((((E44)+(E45))+(E46))+(E47))+(E48))+(E49))+(E50)</f>
        <v>6117.31</v>
      </c>
      <c r="F51" s="6">
        <f t="shared" si="1"/>
        <v>28392.570000000003</v>
      </c>
    </row>
    <row r="52" spans="1:6" x14ac:dyDescent="0.25">
      <c r="A52" s="3" t="s">
        <v>51</v>
      </c>
      <c r="B52" s="4"/>
      <c r="C52" s="4"/>
      <c r="D52" s="4"/>
      <c r="E52" s="4"/>
      <c r="F52" s="5">
        <f t="shared" si="1"/>
        <v>0</v>
      </c>
    </row>
    <row r="53" spans="1:6" x14ac:dyDescent="0.25">
      <c r="A53" s="3" t="s">
        <v>52</v>
      </c>
      <c r="B53" s="5">
        <f>8357.51</f>
        <v>8357.51</v>
      </c>
      <c r="C53" s="5">
        <f>6829.75</f>
        <v>6829.75</v>
      </c>
      <c r="D53" s="5">
        <f>6731.5</f>
        <v>6731.5</v>
      </c>
      <c r="E53" s="5">
        <f>6587.75</f>
        <v>6587.75</v>
      </c>
      <c r="F53" s="5">
        <f t="shared" si="1"/>
        <v>28506.510000000002</v>
      </c>
    </row>
    <row r="54" spans="1:6" x14ac:dyDescent="0.25">
      <c r="A54" s="3" t="s">
        <v>53</v>
      </c>
      <c r="B54" s="5">
        <f>246.47</f>
        <v>246.47</v>
      </c>
      <c r="C54" s="5">
        <f>-90.32</f>
        <v>-90.32</v>
      </c>
      <c r="D54" s="4"/>
      <c r="E54" s="4"/>
      <c r="F54" s="5">
        <f t="shared" si="1"/>
        <v>156.15</v>
      </c>
    </row>
    <row r="55" spans="1:6" x14ac:dyDescent="0.25">
      <c r="A55" s="3" t="s">
        <v>54</v>
      </c>
      <c r="B55" s="5">
        <f>200</f>
        <v>200</v>
      </c>
      <c r="C55" s="4"/>
      <c r="D55" s="5">
        <f>400</f>
        <v>400</v>
      </c>
      <c r="E55" s="5">
        <f>200</f>
        <v>200</v>
      </c>
      <c r="F55" s="5">
        <f t="shared" si="1"/>
        <v>800</v>
      </c>
    </row>
    <row r="56" spans="1:6" x14ac:dyDescent="0.25">
      <c r="A56" s="3" t="s">
        <v>55</v>
      </c>
      <c r="B56" s="5">
        <f>621.15</f>
        <v>621.15</v>
      </c>
      <c r="C56" s="4"/>
      <c r="D56" s="4"/>
      <c r="E56" s="4"/>
      <c r="F56" s="5">
        <f t="shared" si="1"/>
        <v>621.15</v>
      </c>
    </row>
    <row r="57" spans="1:6" x14ac:dyDescent="0.25">
      <c r="A57" s="3" t="s">
        <v>56</v>
      </c>
      <c r="B57" s="5">
        <f>19.11</f>
        <v>19.11</v>
      </c>
      <c r="C57" s="4"/>
      <c r="D57" s="4"/>
      <c r="E57" s="4"/>
      <c r="F57" s="5">
        <f t="shared" si="1"/>
        <v>19.11</v>
      </c>
    </row>
    <row r="58" spans="1:6" x14ac:dyDescent="0.25">
      <c r="A58" s="3" t="s">
        <v>57</v>
      </c>
      <c r="B58" s="5">
        <f>750</f>
        <v>750</v>
      </c>
      <c r="C58" s="5">
        <f>1200</f>
        <v>1200</v>
      </c>
      <c r="D58" s="5">
        <f>1200</f>
        <v>1200</v>
      </c>
      <c r="E58" s="5">
        <f>1370</f>
        <v>1370</v>
      </c>
      <c r="F58" s="5">
        <f t="shared" si="1"/>
        <v>4520</v>
      </c>
    </row>
    <row r="59" spans="1:6" x14ac:dyDescent="0.25">
      <c r="A59" s="3" t="s">
        <v>58</v>
      </c>
      <c r="B59" s="4"/>
      <c r="C59" s="4"/>
      <c r="D59" s="4"/>
      <c r="E59" s="5">
        <f>599.47</f>
        <v>599.47</v>
      </c>
      <c r="F59" s="5">
        <f t="shared" si="1"/>
        <v>599.47</v>
      </c>
    </row>
    <row r="60" spans="1:6" x14ac:dyDescent="0.25">
      <c r="A60" s="3" t="s">
        <v>59</v>
      </c>
      <c r="B60" s="5">
        <f>404.99</f>
        <v>404.99</v>
      </c>
      <c r="C60" s="5">
        <f>404.99</f>
        <v>404.99</v>
      </c>
      <c r="D60" s="5">
        <f>416.99</f>
        <v>416.99</v>
      </c>
      <c r="E60" s="5">
        <f>657</f>
        <v>657</v>
      </c>
      <c r="F60" s="5">
        <f t="shared" si="1"/>
        <v>1883.97</v>
      </c>
    </row>
    <row r="61" spans="1:6" x14ac:dyDescent="0.25">
      <c r="A61" s="3" t="s">
        <v>60</v>
      </c>
      <c r="B61" s="4"/>
      <c r="C61" s="5">
        <f>468</f>
        <v>468</v>
      </c>
      <c r="D61" s="4"/>
      <c r="E61" s="4"/>
      <c r="F61" s="5">
        <f t="shared" si="1"/>
        <v>468</v>
      </c>
    </row>
    <row r="62" spans="1:6" x14ac:dyDescent="0.25">
      <c r="A62" s="3" t="s">
        <v>61</v>
      </c>
      <c r="B62" s="4"/>
      <c r="C62" s="5">
        <f>195.67</f>
        <v>195.67</v>
      </c>
      <c r="D62" s="5">
        <f>15.99</f>
        <v>15.99</v>
      </c>
      <c r="E62" s="5">
        <f>160.68</f>
        <v>160.68</v>
      </c>
      <c r="F62" s="5">
        <f t="shared" si="1"/>
        <v>372.34000000000003</v>
      </c>
    </row>
    <row r="63" spans="1:6" x14ac:dyDescent="0.25">
      <c r="A63" s="3" t="s">
        <v>62</v>
      </c>
      <c r="B63" s="4"/>
      <c r="C63" s="4"/>
      <c r="D63" s="4"/>
      <c r="E63" s="5">
        <f>55</f>
        <v>55</v>
      </c>
      <c r="F63" s="5">
        <f t="shared" si="1"/>
        <v>55</v>
      </c>
    </row>
    <row r="64" spans="1:6" x14ac:dyDescent="0.25">
      <c r="A64" s="3" t="s">
        <v>63</v>
      </c>
      <c r="B64" s="5">
        <f>358.4</f>
        <v>358.4</v>
      </c>
      <c r="C64" s="5">
        <f>200</f>
        <v>200</v>
      </c>
      <c r="D64" s="5">
        <f>200</f>
        <v>200</v>
      </c>
      <c r="E64" s="5">
        <f>358.4</f>
        <v>358.4</v>
      </c>
      <c r="F64" s="5">
        <f t="shared" si="1"/>
        <v>1116.8</v>
      </c>
    </row>
    <row r="65" spans="1:6" x14ac:dyDescent="0.25">
      <c r="A65" s="3" t="s">
        <v>64</v>
      </c>
      <c r="B65" s="4"/>
      <c r="C65" s="5">
        <f>548</f>
        <v>548</v>
      </c>
      <c r="D65" s="5">
        <f>220</f>
        <v>220</v>
      </c>
      <c r="E65" s="4"/>
      <c r="F65" s="5">
        <f t="shared" si="1"/>
        <v>768</v>
      </c>
    </row>
    <row r="66" spans="1:6" x14ac:dyDescent="0.25">
      <c r="A66" s="3" t="s">
        <v>65</v>
      </c>
      <c r="B66" s="5">
        <f>210</f>
        <v>210</v>
      </c>
      <c r="C66" s="4"/>
      <c r="D66" s="5">
        <f>4</f>
        <v>4</v>
      </c>
      <c r="E66" s="4"/>
      <c r="F66" s="5">
        <f t="shared" si="1"/>
        <v>214</v>
      </c>
    </row>
    <row r="67" spans="1:6" x14ac:dyDescent="0.25">
      <c r="A67" s="3" t="s">
        <v>66</v>
      </c>
      <c r="B67" s="6">
        <f>((((((((((((((B52)+(B53))+(B54))+(B55))+(B56))+(B57))+(B58))+(B59))+(B60))+(B61))+(B62))+(B63))+(B64))+(B65))+(B66)</f>
        <v>11167.63</v>
      </c>
      <c r="C67" s="6">
        <f>((((((((((((((C52)+(C53))+(C54))+(C55))+(C56))+(C57))+(C58))+(C59))+(C60))+(C61))+(C62))+(C63))+(C64))+(C65))+(C66)</f>
        <v>9756.09</v>
      </c>
      <c r="D67" s="6">
        <f>((((((((((((((D52)+(D53))+(D54))+(D55))+(D56))+(D57))+(D58))+(D59))+(D60))+(D61))+(D62))+(D63))+(D64))+(D65))+(D66)</f>
        <v>9188.48</v>
      </c>
      <c r="E67" s="6">
        <f>((((((((((((((E52)+(E53))+(E54))+(E55))+(E56))+(E57))+(E58))+(E59))+(E60))+(E61))+(E62))+(E63))+(E64))+(E65))+(E66)</f>
        <v>9988.2999999999993</v>
      </c>
      <c r="F67" s="6">
        <f t="shared" ref="F67:F98" si="2">(((B67)+(C67))+(D67))+(E67)</f>
        <v>40100.5</v>
      </c>
    </row>
    <row r="68" spans="1:6" x14ac:dyDescent="0.25">
      <c r="A68" s="3" t="s">
        <v>67</v>
      </c>
      <c r="B68" s="4"/>
      <c r="C68" s="4"/>
      <c r="D68" s="4"/>
      <c r="E68" s="4"/>
      <c r="F68" s="5">
        <f t="shared" si="2"/>
        <v>0</v>
      </c>
    </row>
    <row r="69" spans="1:6" x14ac:dyDescent="0.25">
      <c r="A69" s="3" t="s">
        <v>68</v>
      </c>
      <c r="B69" s="5">
        <f>388.26</f>
        <v>388.26</v>
      </c>
      <c r="C69" s="5">
        <f>388.26</f>
        <v>388.26</v>
      </c>
      <c r="D69" s="5">
        <f>388.26</f>
        <v>388.26</v>
      </c>
      <c r="E69" s="5">
        <f>388.26</f>
        <v>388.26</v>
      </c>
      <c r="F69" s="5">
        <f t="shared" si="2"/>
        <v>1553.04</v>
      </c>
    </row>
    <row r="70" spans="1:6" x14ac:dyDescent="0.25">
      <c r="A70" s="3" t="s">
        <v>69</v>
      </c>
      <c r="B70" s="5">
        <f>270</f>
        <v>270</v>
      </c>
      <c r="C70" s="5">
        <f>270</f>
        <v>270</v>
      </c>
      <c r="D70" s="5">
        <f>270</f>
        <v>270</v>
      </c>
      <c r="E70" s="5">
        <f>170</f>
        <v>170</v>
      </c>
      <c r="F70" s="5">
        <f t="shared" si="2"/>
        <v>980</v>
      </c>
    </row>
    <row r="71" spans="1:6" x14ac:dyDescent="0.25">
      <c r="A71" s="3" t="s">
        <v>70</v>
      </c>
      <c r="B71" s="5">
        <f>401.85</f>
        <v>401.85</v>
      </c>
      <c r="C71" s="5">
        <f>321.03</f>
        <v>321.02999999999997</v>
      </c>
      <c r="D71" s="5">
        <f>321.03</f>
        <v>321.02999999999997</v>
      </c>
      <c r="E71" s="5">
        <f>704.01</f>
        <v>704.01</v>
      </c>
      <c r="F71" s="5">
        <f t="shared" si="2"/>
        <v>1747.9199999999998</v>
      </c>
    </row>
    <row r="72" spans="1:6" x14ac:dyDescent="0.25">
      <c r="A72" s="3" t="s">
        <v>71</v>
      </c>
      <c r="B72" s="4"/>
      <c r="C72" s="4"/>
      <c r="D72" s="5">
        <f>31.18</f>
        <v>31.18</v>
      </c>
      <c r="E72" s="4"/>
      <c r="F72" s="5">
        <f t="shared" si="2"/>
        <v>31.18</v>
      </c>
    </row>
    <row r="73" spans="1:6" x14ac:dyDescent="0.25">
      <c r="A73" s="3" t="s">
        <v>72</v>
      </c>
      <c r="B73" s="6">
        <f>((((B68)+(B69))+(B70))+(B71))+(B72)</f>
        <v>1060.1100000000001</v>
      </c>
      <c r="C73" s="6">
        <f>((((C68)+(C69))+(C70))+(C71))+(C72)</f>
        <v>979.29</v>
      </c>
      <c r="D73" s="6">
        <f>((((D68)+(D69))+(D70))+(D71))+(D72)</f>
        <v>1010.4699999999999</v>
      </c>
      <c r="E73" s="6">
        <f>((((E68)+(E69))+(E70))+(E71))+(E72)</f>
        <v>1262.27</v>
      </c>
      <c r="F73" s="6">
        <f t="shared" si="2"/>
        <v>4312.1399999999994</v>
      </c>
    </row>
    <row r="74" spans="1:6" x14ac:dyDescent="0.25">
      <c r="A74" s="3" t="s">
        <v>73</v>
      </c>
      <c r="B74" s="4"/>
      <c r="C74" s="4"/>
      <c r="D74" s="4"/>
      <c r="E74" s="4"/>
      <c r="F74" s="5">
        <f t="shared" si="2"/>
        <v>0</v>
      </c>
    </row>
    <row r="75" spans="1:6" x14ac:dyDescent="0.25">
      <c r="A75" s="3" t="s">
        <v>74</v>
      </c>
      <c r="B75" s="4"/>
      <c r="C75" s="4"/>
      <c r="D75" s="4"/>
      <c r="E75" s="5">
        <f>199</f>
        <v>199</v>
      </c>
      <c r="F75" s="5">
        <f t="shared" si="2"/>
        <v>199</v>
      </c>
    </row>
    <row r="76" spans="1:6" x14ac:dyDescent="0.25">
      <c r="A76" s="3" t="s">
        <v>75</v>
      </c>
      <c r="B76" s="6">
        <f>(B74)+(B75)</f>
        <v>0</v>
      </c>
      <c r="C76" s="6">
        <f>(C74)+(C75)</f>
        <v>0</v>
      </c>
      <c r="D76" s="6">
        <f>(D74)+(D75)</f>
        <v>0</v>
      </c>
      <c r="E76" s="6">
        <f>(E74)+(E75)</f>
        <v>199</v>
      </c>
      <c r="F76" s="6">
        <f t="shared" si="2"/>
        <v>199</v>
      </c>
    </row>
    <row r="77" spans="1:6" x14ac:dyDescent="0.25">
      <c r="A77" s="3" t="s">
        <v>76</v>
      </c>
      <c r="B77" s="5">
        <f>117</f>
        <v>117</v>
      </c>
      <c r="C77" s="4"/>
      <c r="D77" s="4"/>
      <c r="E77" s="4"/>
      <c r="F77" s="5">
        <f t="shared" si="2"/>
        <v>117</v>
      </c>
    </row>
    <row r="78" spans="1:6" x14ac:dyDescent="0.25">
      <c r="A78" s="3" t="s">
        <v>77</v>
      </c>
      <c r="B78" s="5">
        <f>185</f>
        <v>185</v>
      </c>
      <c r="C78" s="4"/>
      <c r="D78" s="5">
        <f>1051.56</f>
        <v>1051.56</v>
      </c>
      <c r="E78" s="4"/>
      <c r="F78" s="5">
        <f t="shared" si="2"/>
        <v>1236.56</v>
      </c>
    </row>
    <row r="79" spans="1:6" x14ac:dyDescent="0.25">
      <c r="A79" s="3" t="s">
        <v>78</v>
      </c>
      <c r="B79" s="4"/>
      <c r="C79" s="4"/>
      <c r="D79" s="5">
        <f>185</f>
        <v>185</v>
      </c>
      <c r="E79" s="4"/>
      <c r="F79" s="5">
        <f t="shared" si="2"/>
        <v>185</v>
      </c>
    </row>
    <row r="80" spans="1:6" x14ac:dyDescent="0.25">
      <c r="A80" s="3" t="s">
        <v>79</v>
      </c>
      <c r="B80" s="5">
        <f>215.99</f>
        <v>215.99</v>
      </c>
      <c r="C80" s="5">
        <f>550.87</f>
        <v>550.87</v>
      </c>
      <c r="D80" s="5">
        <f>235</f>
        <v>235</v>
      </c>
      <c r="E80" s="5">
        <f>970.48</f>
        <v>970.48</v>
      </c>
      <c r="F80" s="5">
        <f t="shared" si="2"/>
        <v>1972.3400000000001</v>
      </c>
    </row>
    <row r="81" spans="1:6" x14ac:dyDescent="0.25">
      <c r="A81" s="3" t="s">
        <v>80</v>
      </c>
      <c r="B81" s="5">
        <f>325.94</f>
        <v>325.94</v>
      </c>
      <c r="C81" s="5">
        <f>73.91</f>
        <v>73.91</v>
      </c>
      <c r="D81" s="5">
        <f>192.48</f>
        <v>192.48</v>
      </c>
      <c r="E81" s="5">
        <f>123.11</f>
        <v>123.11</v>
      </c>
      <c r="F81" s="5">
        <f t="shared" si="2"/>
        <v>715.44</v>
      </c>
    </row>
    <row r="82" spans="1:6" x14ac:dyDescent="0.25">
      <c r="A82" s="3" t="s">
        <v>81</v>
      </c>
      <c r="B82" s="4"/>
      <c r="C82" s="5">
        <f>210</f>
        <v>210</v>
      </c>
      <c r="D82" s="4"/>
      <c r="E82" s="4"/>
      <c r="F82" s="5">
        <f t="shared" si="2"/>
        <v>210</v>
      </c>
    </row>
    <row r="83" spans="1:6" x14ac:dyDescent="0.25">
      <c r="A83" s="3" t="s">
        <v>82</v>
      </c>
      <c r="B83" s="6">
        <f>(((((B77)+(B78))+(B79))+(B80))+(B81))+(B82)</f>
        <v>843.93000000000006</v>
      </c>
      <c r="C83" s="6">
        <f>(((((C77)+(C78))+(C79))+(C80))+(C81))+(C82)</f>
        <v>834.78</v>
      </c>
      <c r="D83" s="6">
        <f>(((((D77)+(D78))+(D79))+(D80))+(D81))+(D82)</f>
        <v>1664.04</v>
      </c>
      <c r="E83" s="6">
        <f>(((((E77)+(E78))+(E79))+(E80))+(E81))+(E82)</f>
        <v>1093.5899999999999</v>
      </c>
      <c r="F83" s="6">
        <f t="shared" si="2"/>
        <v>4436.34</v>
      </c>
    </row>
    <row r="84" spans="1:6" x14ac:dyDescent="0.25">
      <c r="A84" s="3" t="s">
        <v>83</v>
      </c>
      <c r="B84" s="4"/>
      <c r="C84" s="4"/>
      <c r="D84" s="4"/>
      <c r="E84" s="4"/>
      <c r="F84" s="5">
        <f t="shared" si="2"/>
        <v>0</v>
      </c>
    </row>
    <row r="85" spans="1:6" x14ac:dyDescent="0.25">
      <c r="A85" s="3" t="s">
        <v>84</v>
      </c>
      <c r="B85" s="5">
        <f>204.31</f>
        <v>204.31</v>
      </c>
      <c r="C85" s="5">
        <f>2</f>
        <v>2</v>
      </c>
      <c r="D85" s="5">
        <f>243.53</f>
        <v>243.53</v>
      </c>
      <c r="E85" s="5">
        <f>332.77</f>
        <v>332.77</v>
      </c>
      <c r="F85" s="5">
        <f t="shared" si="2"/>
        <v>782.61</v>
      </c>
    </row>
    <row r="86" spans="1:6" x14ac:dyDescent="0.25">
      <c r="A86" s="3" t="s">
        <v>85</v>
      </c>
      <c r="B86" s="5">
        <f>42.36</f>
        <v>42.36</v>
      </c>
      <c r="C86" s="5">
        <f>27.37</f>
        <v>27.37</v>
      </c>
      <c r="D86" s="5">
        <f>27.91</f>
        <v>27.91</v>
      </c>
      <c r="E86" s="4"/>
      <c r="F86" s="5">
        <f t="shared" si="2"/>
        <v>97.64</v>
      </c>
    </row>
    <row r="87" spans="1:6" x14ac:dyDescent="0.25">
      <c r="A87" s="3" t="s">
        <v>86</v>
      </c>
      <c r="B87" s="5">
        <f>809.53</f>
        <v>809.53</v>
      </c>
      <c r="C87" s="5">
        <f>523.32</f>
        <v>523.32000000000005</v>
      </c>
      <c r="D87" s="5">
        <f>533.58</f>
        <v>533.58000000000004</v>
      </c>
      <c r="E87" s="4"/>
      <c r="F87" s="5">
        <f t="shared" si="2"/>
        <v>1866.4299999999998</v>
      </c>
    </row>
    <row r="88" spans="1:6" x14ac:dyDescent="0.25">
      <c r="A88" s="3" t="s">
        <v>87</v>
      </c>
      <c r="B88" s="6">
        <f>(((B84)+(B85))+(B86))+(B87)</f>
        <v>1056.2</v>
      </c>
      <c r="C88" s="6">
        <f>(((C84)+(C85))+(C86))+(C87)</f>
        <v>552.69000000000005</v>
      </c>
      <c r="D88" s="6">
        <f>(((D84)+(D85))+(D86))+(D87)</f>
        <v>805.02</v>
      </c>
      <c r="E88" s="6">
        <f>(((E84)+(E85))+(E86))+(E87)</f>
        <v>332.77</v>
      </c>
      <c r="F88" s="6">
        <f t="shared" si="2"/>
        <v>2746.68</v>
      </c>
    </row>
    <row r="89" spans="1:6" x14ac:dyDescent="0.25">
      <c r="A89" s="3" t="s">
        <v>88</v>
      </c>
      <c r="B89" s="4"/>
      <c r="C89" s="4"/>
      <c r="D89" s="4"/>
      <c r="E89" s="4"/>
      <c r="F89" s="5">
        <f t="shared" si="2"/>
        <v>0</v>
      </c>
    </row>
    <row r="90" spans="1:6" x14ac:dyDescent="0.25">
      <c r="A90" s="3" t="s">
        <v>89</v>
      </c>
      <c r="B90" s="5">
        <f>388.28</f>
        <v>388.28</v>
      </c>
      <c r="C90" s="5">
        <f>388.28</f>
        <v>388.28</v>
      </c>
      <c r="D90" s="5">
        <f>388.28</f>
        <v>388.28</v>
      </c>
      <c r="E90" s="5">
        <f>388.28</f>
        <v>388.28</v>
      </c>
      <c r="F90" s="5">
        <f t="shared" si="2"/>
        <v>1553.12</v>
      </c>
    </row>
    <row r="91" spans="1:6" x14ac:dyDescent="0.25">
      <c r="A91" s="3" t="s">
        <v>90</v>
      </c>
      <c r="B91" s="5">
        <f>1086.25</f>
        <v>1086.25</v>
      </c>
      <c r="C91" s="5">
        <f>1844.55</f>
        <v>1844.55</v>
      </c>
      <c r="D91" s="5">
        <f>339.41</f>
        <v>339.41</v>
      </c>
      <c r="E91" s="4"/>
      <c r="F91" s="5">
        <f t="shared" si="2"/>
        <v>3270.21</v>
      </c>
    </row>
    <row r="92" spans="1:6" x14ac:dyDescent="0.25">
      <c r="A92" s="3" t="s">
        <v>91</v>
      </c>
      <c r="B92" s="5">
        <f>12683.02</f>
        <v>12683.02</v>
      </c>
      <c r="C92" s="4"/>
      <c r="D92" s="5">
        <f>1580.69</f>
        <v>1580.69</v>
      </c>
      <c r="E92" s="4"/>
      <c r="F92" s="5">
        <f t="shared" si="2"/>
        <v>14263.710000000001</v>
      </c>
    </row>
    <row r="93" spans="1:6" x14ac:dyDescent="0.25">
      <c r="A93" s="3" t="s">
        <v>92</v>
      </c>
      <c r="B93" s="5">
        <f>1998.9</f>
        <v>1998.9</v>
      </c>
      <c r="C93" s="5">
        <f>572.36</f>
        <v>572.36</v>
      </c>
      <c r="D93" s="4"/>
      <c r="E93" s="4"/>
      <c r="F93" s="5">
        <f t="shared" si="2"/>
        <v>2571.2600000000002</v>
      </c>
    </row>
    <row r="94" spans="1:6" x14ac:dyDescent="0.25">
      <c r="A94" s="3" t="s">
        <v>93</v>
      </c>
      <c r="B94" s="5">
        <f>1792.69</f>
        <v>1792.69</v>
      </c>
      <c r="C94" s="5">
        <f>678.59</f>
        <v>678.59</v>
      </c>
      <c r="D94" s="5">
        <f>9062.33</f>
        <v>9062.33</v>
      </c>
      <c r="E94" s="4"/>
      <c r="F94" s="5">
        <f t="shared" si="2"/>
        <v>11533.61</v>
      </c>
    </row>
    <row r="95" spans="1:6" x14ac:dyDescent="0.25">
      <c r="A95" s="3" t="s">
        <v>94</v>
      </c>
      <c r="B95" s="4"/>
      <c r="C95" s="5">
        <f>110.09</f>
        <v>110.09</v>
      </c>
      <c r="D95" s="5">
        <f>1990.48</f>
        <v>1990.48</v>
      </c>
      <c r="E95" s="5">
        <f>297.22</f>
        <v>297.22000000000003</v>
      </c>
      <c r="F95" s="5">
        <f t="shared" si="2"/>
        <v>2397.79</v>
      </c>
    </row>
    <row r="96" spans="1:6" x14ac:dyDescent="0.25">
      <c r="A96" s="3" t="s">
        <v>95</v>
      </c>
      <c r="B96" s="5">
        <f>820.97</f>
        <v>820.97</v>
      </c>
      <c r="C96" s="5">
        <f>232</f>
        <v>232</v>
      </c>
      <c r="D96" s="4"/>
      <c r="E96" s="4"/>
      <c r="F96" s="5">
        <f t="shared" si="2"/>
        <v>1052.97</v>
      </c>
    </row>
    <row r="97" spans="1:6" x14ac:dyDescent="0.25">
      <c r="A97" s="3" t="s">
        <v>96</v>
      </c>
      <c r="B97" s="5">
        <f>395.02</f>
        <v>395.02</v>
      </c>
      <c r="C97" s="5">
        <f>1230.13</f>
        <v>1230.1300000000001</v>
      </c>
      <c r="D97" s="5">
        <f>174.4</f>
        <v>174.4</v>
      </c>
      <c r="E97" s="4"/>
      <c r="F97" s="5">
        <f t="shared" si="2"/>
        <v>1799.5500000000002</v>
      </c>
    </row>
    <row r="98" spans="1:6" x14ac:dyDescent="0.25">
      <c r="A98" s="3" t="s">
        <v>97</v>
      </c>
      <c r="B98" s="5">
        <f>136</f>
        <v>136</v>
      </c>
      <c r="C98" s="5">
        <f>425</f>
        <v>425</v>
      </c>
      <c r="D98" s="4"/>
      <c r="E98" s="5">
        <f>55</f>
        <v>55</v>
      </c>
      <c r="F98" s="5">
        <f t="shared" si="2"/>
        <v>616</v>
      </c>
    </row>
    <row r="99" spans="1:6" x14ac:dyDescent="0.25">
      <c r="A99" s="3" t="s">
        <v>98</v>
      </c>
      <c r="B99" s="5">
        <f>250</f>
        <v>250</v>
      </c>
      <c r="C99" s="4"/>
      <c r="D99" s="4"/>
      <c r="E99" s="4"/>
      <c r="F99" s="5">
        <f t="shared" ref="F99:F110" si="3">(((B99)+(C99))+(D99))+(E99)</f>
        <v>250</v>
      </c>
    </row>
    <row r="100" spans="1:6" x14ac:dyDescent="0.25">
      <c r="A100" s="3" t="s">
        <v>99</v>
      </c>
      <c r="B100" s="5">
        <f>19600</f>
        <v>19600</v>
      </c>
      <c r="C100" s="5">
        <f>100</f>
        <v>100</v>
      </c>
      <c r="D100" s="5">
        <f>6600</f>
        <v>6600</v>
      </c>
      <c r="E100" s="4"/>
      <c r="F100" s="5">
        <f t="shared" si="3"/>
        <v>26300</v>
      </c>
    </row>
    <row r="101" spans="1:6" x14ac:dyDescent="0.25">
      <c r="A101" s="3" t="s">
        <v>100</v>
      </c>
      <c r="B101" s="5">
        <f>4400</f>
        <v>4400</v>
      </c>
      <c r="C101" s="5">
        <f>2110.94</f>
        <v>2110.94</v>
      </c>
      <c r="D101" s="5">
        <f>1675</f>
        <v>1675</v>
      </c>
      <c r="E101" s="4"/>
      <c r="F101" s="5">
        <f t="shared" si="3"/>
        <v>8185.9400000000005</v>
      </c>
    </row>
    <row r="102" spans="1:6" x14ac:dyDescent="0.25">
      <c r="A102" s="3" t="s">
        <v>101</v>
      </c>
      <c r="B102" s="4"/>
      <c r="C102" s="5">
        <f>710.98</f>
        <v>710.98</v>
      </c>
      <c r="D102" s="4"/>
      <c r="E102" s="4"/>
      <c r="F102" s="5">
        <f t="shared" si="3"/>
        <v>710.98</v>
      </c>
    </row>
    <row r="103" spans="1:6" x14ac:dyDescent="0.25">
      <c r="A103" s="3" t="s">
        <v>102</v>
      </c>
      <c r="B103" s="5">
        <f>879.34</f>
        <v>879.34</v>
      </c>
      <c r="C103" s="5">
        <f>700</f>
        <v>700</v>
      </c>
      <c r="D103" s="5">
        <f>800</f>
        <v>800</v>
      </c>
      <c r="E103" s="4"/>
      <c r="F103" s="5">
        <f t="shared" si="3"/>
        <v>2379.34</v>
      </c>
    </row>
    <row r="104" spans="1:6" x14ac:dyDescent="0.25">
      <c r="A104" s="3" t="s">
        <v>103</v>
      </c>
      <c r="B104" s="5">
        <f>500</f>
        <v>500</v>
      </c>
      <c r="C104" s="5">
        <f>1000</f>
        <v>1000</v>
      </c>
      <c r="D104" s="5">
        <f>500</f>
        <v>500</v>
      </c>
      <c r="E104" s="4"/>
      <c r="F104" s="5">
        <f t="shared" si="3"/>
        <v>2000</v>
      </c>
    </row>
    <row r="105" spans="1:6" x14ac:dyDescent="0.25">
      <c r="A105" s="3" t="s">
        <v>104</v>
      </c>
      <c r="B105" s="5">
        <f>48</f>
        <v>48</v>
      </c>
      <c r="C105" s="4"/>
      <c r="D105" s="4"/>
      <c r="E105" s="4"/>
      <c r="F105" s="5">
        <f t="shared" si="3"/>
        <v>48</v>
      </c>
    </row>
    <row r="106" spans="1:6" x14ac:dyDescent="0.25">
      <c r="A106" s="3" t="s">
        <v>105</v>
      </c>
      <c r="B106" s="5">
        <f>600</f>
        <v>600</v>
      </c>
      <c r="C106" s="5">
        <f>-1750</f>
        <v>-1750</v>
      </c>
      <c r="D106" s="5">
        <f>-125</f>
        <v>-125</v>
      </c>
      <c r="E106" s="5">
        <f>800</f>
        <v>800</v>
      </c>
      <c r="F106" s="5">
        <f t="shared" si="3"/>
        <v>-475</v>
      </c>
    </row>
    <row r="107" spans="1:6" x14ac:dyDescent="0.25">
      <c r="A107" s="3" t="s">
        <v>106</v>
      </c>
      <c r="B107" s="6">
        <f>(((((((((((((((((B89)+(B90))+(B91))+(B92))+(B93))+(B94))+(B95))+(B96))+(B97))+(B98))+(B99))+(B100))+(B101))+(B102))+(B103))+(B104))+(B105))+(B106)</f>
        <v>45578.47</v>
      </c>
      <c r="C107" s="6">
        <f>(((((((((((((((((C89)+(C90))+(C91))+(C92))+(C93))+(C94))+(C95))+(C96))+(C97))+(C98))+(C99))+(C100))+(C101))+(C102))+(C103))+(C104))+(C105))+(C106)</f>
        <v>8352.92</v>
      </c>
      <c r="D107" s="6">
        <f>(((((((((((((((((D89)+(D90))+(D91))+(D92))+(D93))+(D94))+(D95))+(D96))+(D97))+(D98))+(D99))+(D100))+(D101))+(D102))+(D103))+(D104))+(D105))+(D106)</f>
        <v>22985.589999999997</v>
      </c>
      <c r="E107" s="6">
        <f>(((((((((((((((((E89)+(E90))+(E91))+(E92))+(E93))+(E94))+(E95))+(E96))+(E97))+(E98))+(E99))+(E100))+(E101))+(E102))+(E103))+(E104))+(E105))+(E106)</f>
        <v>1540.5</v>
      </c>
      <c r="F107" s="6">
        <f t="shared" si="3"/>
        <v>78457.48</v>
      </c>
    </row>
    <row r="108" spans="1:6" x14ac:dyDescent="0.25">
      <c r="A108" s="3" t="s">
        <v>107</v>
      </c>
      <c r="B108" s="6">
        <f>((((((((B37)+(B43))+(B51))+(B67))+(B73))+(B76))+(B83))+(B88))+(B107)</f>
        <v>72548.259999999995</v>
      </c>
      <c r="C108" s="6">
        <f>((((((((C37)+(C43))+(C51))+(C67))+(C73))+(C76))+(C83))+(C88))+(C107)</f>
        <v>31438.15</v>
      </c>
      <c r="D108" s="6">
        <f>((((((((D37)+(D43))+(D51))+(D67))+(D73))+(D76))+(D83))+(D88))+(D107)</f>
        <v>49918.990000000005</v>
      </c>
      <c r="E108" s="6">
        <f>((((((((E37)+(E43))+(E51))+(E67))+(E73))+(E76))+(E83))+(E88))+(E107)</f>
        <v>22289.01</v>
      </c>
      <c r="F108" s="6">
        <f t="shared" si="3"/>
        <v>176194.41000000003</v>
      </c>
    </row>
    <row r="109" spans="1:6" x14ac:dyDescent="0.25">
      <c r="A109" s="3" t="s">
        <v>112</v>
      </c>
      <c r="B109" s="8">
        <f>(B33)-(B108)</f>
        <v>-10736.969999999994</v>
      </c>
      <c r="C109" s="6">
        <f>(C33)-(C108)</f>
        <v>6420.6399999999994</v>
      </c>
      <c r="D109" s="8">
        <f>(D33)-(D108)</f>
        <v>-14005.770000000004</v>
      </c>
      <c r="E109" s="8">
        <f>(E33)-(E108)</f>
        <v>-14583.349999999999</v>
      </c>
      <c r="F109" s="8">
        <f t="shared" si="3"/>
        <v>-32905.449999999997</v>
      </c>
    </row>
    <row r="110" spans="1:6" x14ac:dyDescent="0.25">
      <c r="A110" s="3" t="s">
        <v>113</v>
      </c>
      <c r="B110" s="9">
        <f>(B109)+(0)</f>
        <v>-10736.969999999994</v>
      </c>
      <c r="C110" s="7">
        <f>(C109)+(0)</f>
        <v>6420.6399999999994</v>
      </c>
      <c r="D110" s="9">
        <f>(D109)+(0)</f>
        <v>-14005.770000000004</v>
      </c>
      <c r="E110" s="9">
        <f>(E109)+(0)</f>
        <v>-14583.349999999999</v>
      </c>
      <c r="F110" s="9">
        <f t="shared" si="3"/>
        <v>-32905.449999999997</v>
      </c>
    </row>
    <row r="111" spans="1:6" x14ac:dyDescent="0.25">
      <c r="A111" s="3"/>
      <c r="B111" s="4"/>
      <c r="C111" s="4"/>
      <c r="D111" s="4"/>
      <c r="E111" s="4"/>
      <c r="F111" s="4"/>
    </row>
    <row r="114" spans="1:6" x14ac:dyDescent="0.25">
      <c r="A114" s="10" t="s">
        <v>108</v>
      </c>
      <c r="B114" s="11"/>
      <c r="C114" s="11"/>
      <c r="D114" s="11"/>
      <c r="E114" s="11"/>
      <c r="F114" s="11"/>
    </row>
  </sheetData>
  <mergeCells count="4">
    <mergeCell ref="A114:F114"/>
    <mergeCell ref="A1:F1"/>
    <mergeCell ref="A2:F2"/>
    <mergeCell ref="A3:F3"/>
  </mergeCells>
  <pageMargins left="0.7" right="0.7" top="0.75" bottom="0.75" header="0.3" footer="0.3"/>
  <pageSetup scale="96" fitToHeight="0"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 and Loss by Month</vt:lpstr>
      <vt:lpstr>'Profit and Loss by Month'!Print_Area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Ginger Greaves</cp:lastModifiedBy>
  <cp:lastPrinted>2024-11-19T23:50:39Z</cp:lastPrinted>
  <dcterms:created xsi:type="dcterms:W3CDTF">2024-11-19T23:17:16Z</dcterms:created>
  <dcterms:modified xsi:type="dcterms:W3CDTF">2024-11-20T16:30:08Z</dcterms:modified>
</cp:coreProperties>
</file>