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NGER\Documents\SRPF\BOARD MATERIALS\SHIRLEY'S REPORTS\MONTHLY FINANCIALS\"/>
    </mc:Choice>
  </mc:AlternateContent>
  <xr:revisionPtr revIDLastSave="0" documentId="8_{40C812EC-F0D1-49C2-BC66-B7EA8531A4F4}" xr6:coauthVersionLast="47" xr6:coauthVersionMax="47" xr10:uidLastSave="{00000000-0000-0000-0000-000000000000}"/>
  <bookViews>
    <workbookView xWindow="-120" yWindow="600" windowWidth="19440" windowHeight="10440" xr2:uid="{00000000-000D-0000-FFFF-FFFF00000000}"/>
  </bookViews>
  <sheets>
    <sheet name="Profit and Loss" sheetId="1" r:id="rId1"/>
  </sheets>
  <definedNames>
    <definedName name="_xlnm.Print_Area" localSheetId="0">'Profit and Loss'!$A$1:$B$133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8" i="1" l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29" i="1" s="1"/>
  <c r="B109" i="1"/>
  <c r="B108" i="1"/>
  <c r="B110" i="1" s="1"/>
  <c r="B107" i="1"/>
  <c r="B106" i="1"/>
  <c r="B103" i="1"/>
  <c r="B102" i="1"/>
  <c r="B101" i="1"/>
  <c r="B100" i="1"/>
  <c r="B99" i="1"/>
  <c r="B98" i="1"/>
  <c r="B97" i="1"/>
  <c r="B96" i="1"/>
  <c r="B104" i="1" s="1"/>
  <c r="B93" i="1"/>
  <c r="B92" i="1"/>
  <c r="B91" i="1"/>
  <c r="B90" i="1"/>
  <c r="B89" i="1"/>
  <c r="B94" i="1" s="1"/>
  <c r="B86" i="1"/>
  <c r="B85" i="1"/>
  <c r="B84" i="1"/>
  <c r="B83" i="1"/>
  <c r="B82" i="1"/>
  <c r="B81" i="1"/>
  <c r="B80" i="1"/>
  <c r="B79" i="1"/>
  <c r="B78" i="1"/>
  <c r="B77" i="1"/>
  <c r="B76" i="1"/>
  <c r="B75" i="1"/>
  <c r="B87" i="1" s="1"/>
  <c r="B74" i="1"/>
  <c r="B72" i="1"/>
  <c r="B71" i="1"/>
  <c r="B70" i="1"/>
  <c r="B69" i="1"/>
  <c r="B68" i="1"/>
  <c r="B67" i="1"/>
  <c r="B66" i="1"/>
  <c r="B65" i="1"/>
  <c r="B64" i="1"/>
  <c r="B63" i="1"/>
  <c r="B62" i="1"/>
  <c r="B61" i="1"/>
  <c r="B58" i="1"/>
  <c r="B57" i="1"/>
  <c r="B56" i="1"/>
  <c r="B55" i="1"/>
  <c r="B59" i="1" s="1"/>
  <c r="B54" i="1"/>
  <c r="B52" i="1"/>
  <c r="B51" i="1"/>
  <c r="B49" i="1"/>
  <c r="B48" i="1"/>
  <c r="B47" i="1"/>
  <c r="B41" i="1"/>
  <c r="B40" i="1"/>
  <c r="B39" i="1"/>
  <c r="B38" i="1"/>
  <c r="B37" i="1"/>
  <c r="B42" i="1" s="1"/>
  <c r="B34" i="1"/>
  <c r="B35" i="1" s="1"/>
  <c r="B31" i="1"/>
  <c r="B30" i="1"/>
  <c r="B29" i="1"/>
  <c r="B28" i="1"/>
  <c r="B27" i="1"/>
  <c r="B32" i="1" s="1"/>
  <c r="B24" i="1"/>
  <c r="B23" i="1"/>
  <c r="B25" i="1" s="1"/>
  <c r="B20" i="1"/>
  <c r="B19" i="1"/>
  <c r="B21" i="1" s="1"/>
  <c r="B16" i="1"/>
  <c r="B17" i="1" s="1"/>
  <c r="B13" i="1"/>
  <c r="B12" i="1"/>
  <c r="B14" i="1" s="1"/>
  <c r="B9" i="1"/>
  <c r="B8" i="1"/>
  <c r="B10" i="1" s="1"/>
  <c r="B130" i="1" l="1"/>
  <c r="B43" i="1"/>
  <c r="B44" i="1" s="1"/>
  <c r="B131" i="1" s="1"/>
  <c r="B132" i="1" s="1"/>
</calcChain>
</file>

<file path=xl/sharedStrings.xml><?xml version="1.0" encoding="utf-8"?>
<sst xmlns="http://schemas.openxmlformats.org/spreadsheetml/2006/main" count="132" uniqueCount="132">
  <si>
    <t>Total</t>
  </si>
  <si>
    <t>Income</t>
  </si>
  <si>
    <t xml:space="preserve">   4000 Direct contributions</t>
  </si>
  <si>
    <t xml:space="preserve">      4010 Unsolicited contributions</t>
  </si>
  <si>
    <t xml:space="preserve">      4025 This Old House Capital Improvement</t>
  </si>
  <si>
    <t xml:space="preserve">   Total 4000 Direct contributions</t>
  </si>
  <si>
    <t xml:space="preserve">   4200 Non-government grants</t>
  </si>
  <si>
    <t xml:space="preserve">      4210 Corporate/business grants</t>
  </si>
  <si>
    <t xml:space="preserve">      4230 Foundation/trust grants</t>
  </si>
  <si>
    <t xml:space="preserve">   Total 4200 Non-government grants</t>
  </si>
  <si>
    <t xml:space="preserve">   4500 Government grants</t>
  </si>
  <si>
    <t xml:space="preserve">      4520 Federal grants</t>
  </si>
  <si>
    <t xml:space="preserve">   Total 4500 Government grants</t>
  </si>
  <si>
    <t xml:space="preserve">   5100 Program-related sales &amp; fees</t>
  </si>
  <si>
    <t xml:space="preserve">      5105 NERF Forum Educational</t>
  </si>
  <si>
    <t xml:space="preserve">      5110 Family Wildlife Day</t>
  </si>
  <si>
    <t xml:space="preserve">   Total 5100 Program-related sales &amp; fees</t>
  </si>
  <si>
    <t xml:space="preserve">   5200 Dues</t>
  </si>
  <si>
    <t xml:space="preserve">      5210 Membership dues-individuals</t>
  </si>
  <si>
    <t xml:space="preserve">      5220 Dues-Corporate Memberships</t>
  </si>
  <si>
    <t xml:space="preserve">   Total 5200 Dues</t>
  </si>
  <si>
    <t xml:space="preserve">   5300 Investment Income</t>
  </si>
  <si>
    <t xml:space="preserve">      5310 Interest-savings &amp; investments</t>
  </si>
  <si>
    <t xml:space="preserve">      5311 Interest -1083 EllisInvestment</t>
  </si>
  <si>
    <t xml:space="preserve">      5320 Dividends &amp; interest-securities</t>
  </si>
  <si>
    <t xml:space="preserve">      5360 Other investment income</t>
  </si>
  <si>
    <t xml:space="preserve">      5361 Other Investment 1083 Ellis</t>
  </si>
  <si>
    <t xml:space="preserve">   Total 5300 Investment Income</t>
  </si>
  <si>
    <t xml:space="preserve">   5400 Other sources</t>
  </si>
  <si>
    <t xml:space="preserve">      5450 Scholarship revenue</t>
  </si>
  <si>
    <t xml:space="preserve">   Total 5400 Other sources</t>
  </si>
  <si>
    <t xml:space="preserve">   5800 Events</t>
  </si>
  <si>
    <t xml:space="preserve">      5805 Events - Book Signing Event</t>
  </si>
  <si>
    <t xml:space="preserve">      5810 Events - Garden Tour</t>
  </si>
  <si>
    <t xml:space="preserve">      5820 Events - Art show/Concerts</t>
  </si>
  <si>
    <t xml:space="preserve">      5840 Events - CowBoy Julilee</t>
  </si>
  <si>
    <t xml:space="preserve">      5899 Event Other</t>
  </si>
  <si>
    <t xml:space="preserve">   Total 5800 Events</t>
  </si>
  <si>
    <t>Total Income</t>
  </si>
  <si>
    <t>Gross Profit</t>
  </si>
  <si>
    <t>Expenses</t>
  </si>
  <si>
    <t xml:space="preserve">   7000 Grants &amp; direct assistance</t>
  </si>
  <si>
    <t xml:space="preserve">      7040 Awards &amp; grants - individuals</t>
  </si>
  <si>
    <t xml:space="preserve">      7050 Scholarship - individual award</t>
  </si>
  <si>
    <t xml:space="preserve">   Total 7000 Grants &amp; direct assistance</t>
  </si>
  <si>
    <t xml:space="preserve">   7200 Salaries &amp; related expenses</t>
  </si>
  <si>
    <t xml:space="preserve">      7250 Payroll taxes, etc.</t>
  </si>
  <si>
    <t xml:space="preserve">   Total 7200 Salaries &amp; related expenses</t>
  </si>
  <si>
    <t xml:space="preserve">   7500 Contract service expenses</t>
  </si>
  <si>
    <t xml:space="preserve">      7520 Accounting fees</t>
  </si>
  <si>
    <t xml:space="preserve">      7525 Tax Preparation Fee</t>
  </si>
  <si>
    <t xml:space="preserve">      7526 Payroll Tax Preparation</t>
  </si>
  <si>
    <t xml:space="preserve">      7540 Professional fees - other</t>
  </si>
  <si>
    <t xml:space="preserve">      7550 Other Professional- contract</t>
  </si>
  <si>
    <t xml:space="preserve">   Total 7500 Contract service expenses</t>
  </si>
  <si>
    <t xml:space="preserve">   8000 Program related expenses</t>
  </si>
  <si>
    <t xml:space="preserve">      8005 Salaries&amp;Wages - Programs</t>
  </si>
  <si>
    <t xml:space="preserve">      8010 Transportation E/S M/S</t>
  </si>
  <si>
    <t xml:space="preserve">      8020 Climate Change (Habitat)</t>
  </si>
  <si>
    <t xml:space="preserve">      8030 Outreach</t>
  </si>
  <si>
    <t xml:space="preserve">      8035 Small Grants</t>
  </si>
  <si>
    <t xml:space="preserve">      8040 Trout in the classroom</t>
  </si>
  <si>
    <t xml:space="preserve">      8070 Family Wildlife Day</t>
  </si>
  <si>
    <t xml:space="preserve">      8075 Cooking Classes Expense</t>
  </si>
  <si>
    <t xml:space="preserve">      8077 NERF Forum</t>
  </si>
  <si>
    <t xml:space="preserve">      8079 Junior Ranger Program</t>
  </si>
  <si>
    <t xml:space="preserve">      8080 Other-Ambassadors</t>
  </si>
  <si>
    <t xml:space="preserve">   Total 8000 Program related expenses</t>
  </si>
  <si>
    <t xml:space="preserve">   8100 Program suppport  expenses</t>
  </si>
  <si>
    <t xml:space="preserve">      8105 Salaries&amp; Wages-Program Support</t>
  </si>
  <si>
    <t xml:space="preserve">      8110 Supplies</t>
  </si>
  <si>
    <t xml:space="preserve">      8120 Website services</t>
  </si>
  <si>
    <t xml:space="preserve">      8125 Annual Membership Mtg expense</t>
  </si>
  <si>
    <t xml:space="preserve">      8140 Postage &amp; shipping</t>
  </si>
  <si>
    <t xml:space="preserve">      8150 Social Media/Newsletters</t>
  </si>
  <si>
    <t xml:space="preserve">      8170 Printing &amp; copying</t>
  </si>
  <si>
    <t xml:space="preserve">      8171 Member education</t>
  </si>
  <si>
    <t xml:space="preserve">      8180 Volunteer education</t>
  </si>
  <si>
    <t xml:space="preserve">      8181 Donor education</t>
  </si>
  <si>
    <t xml:space="preserve">      8190 Exec. Dir. mileage expense</t>
  </si>
  <si>
    <t xml:space="preserve">      8191 Chamber of Commerce expense</t>
  </si>
  <si>
    <t xml:space="preserve">      8195 Other expense</t>
  </si>
  <si>
    <t xml:space="preserve">   Total 8100 Program suppport  expenses</t>
  </si>
  <si>
    <t xml:space="preserve">   8200 Administrative expenses</t>
  </si>
  <si>
    <t xml:space="preserve">      8205 Salaries&amp;Wages-Administration</t>
  </si>
  <si>
    <t xml:space="preserve">      8221 Utilities</t>
  </si>
  <si>
    <t xml:space="preserve">      8225 Telephone expense</t>
  </si>
  <si>
    <t xml:space="preserve">      8226 Postage expense</t>
  </si>
  <si>
    <t xml:space="preserve">      8260 Equipment rental &amp; maintenance</t>
  </si>
  <si>
    <t xml:space="preserve">   Total 8200 Administrative expenses</t>
  </si>
  <si>
    <t xml:space="preserve">   8500 Administrative Other expenses</t>
  </si>
  <si>
    <t xml:space="preserve">      8515 Insurance - General Liab &amp; D&amp;O</t>
  </si>
  <si>
    <t xml:space="preserve">      8520 Insurance - Workers Comp</t>
  </si>
  <si>
    <t xml:space="preserve">      8530 Membership - organization</t>
  </si>
  <si>
    <t xml:space="preserve">      8540 Strategic plan development</t>
  </si>
  <si>
    <t xml:space="preserve">      8560 Outside computer services</t>
  </si>
  <si>
    <t xml:space="preserve">      8565 Office supplies</t>
  </si>
  <si>
    <t xml:space="preserve">      8570 Advertising expenses</t>
  </si>
  <si>
    <t xml:space="preserve">      8590 Other expenses</t>
  </si>
  <si>
    <t xml:space="preserve">   Total 8500 Administrative Other expenses</t>
  </si>
  <si>
    <t xml:space="preserve">   8600 Administrative Bus    expenses</t>
  </si>
  <si>
    <t xml:space="preserve">      8610 Bank fee-credit card</t>
  </si>
  <si>
    <t xml:space="preserve">      8611 Service Fee-Investments</t>
  </si>
  <si>
    <t xml:space="preserve">      8612 Service Fee-Invest 1083 Ellis</t>
  </si>
  <si>
    <t xml:space="preserve">      8650 Taxes - other</t>
  </si>
  <si>
    <t xml:space="preserve">   Total 8600 Administrative Bus    expenses</t>
  </si>
  <si>
    <t xml:space="preserve">   8700 Fund Raising Event expenses</t>
  </si>
  <si>
    <t xml:space="preserve">      8705 Salaries &amp; Wages - Fund Raising</t>
  </si>
  <si>
    <t xml:space="preserve">      8710 Supplies expense</t>
  </si>
  <si>
    <t xml:space="preserve">      8720 Rental expense</t>
  </si>
  <si>
    <t xml:space="preserve">      8721 Concert transportation</t>
  </si>
  <si>
    <t xml:space="preserve">      8730 Food</t>
  </si>
  <si>
    <t xml:space="preserve">      8740 Drinks</t>
  </si>
  <si>
    <t xml:space="preserve">      8745 Marketing</t>
  </si>
  <si>
    <t xml:space="preserve">      8750 Printing</t>
  </si>
  <si>
    <t xml:space="preserve">      8755 Advertising</t>
  </si>
  <si>
    <t xml:space="preserve">      8760 Signage</t>
  </si>
  <si>
    <t xml:space="preserve">      8780 Entertainment</t>
  </si>
  <si>
    <t xml:space="preserve">      8784 Logistics</t>
  </si>
  <si>
    <t xml:space="preserve">      8785 Merchant Fees</t>
  </si>
  <si>
    <t xml:space="preserve">      8790 Other</t>
  </si>
  <si>
    <t xml:space="preserve">      8791 Other - Salaries &amp; Wages</t>
  </si>
  <si>
    <t xml:space="preserve">      8792 TOH - Pop up dinner/Kodi Concert</t>
  </si>
  <si>
    <t xml:space="preserve">      8799 Miscellaneous-In/Out</t>
  </si>
  <si>
    <t xml:space="preserve">   Total 8700 Fund Raising Event expenses</t>
  </si>
  <si>
    <t>Total Expenses</t>
  </si>
  <si>
    <t>Net Operating Income</t>
  </si>
  <si>
    <t>Net Income</t>
  </si>
  <si>
    <t>Monday, Jun 24, 2024 08:57:55 AM GMT-7 - Cash Basis</t>
  </si>
  <si>
    <t>Santa Rosa Plateau Foundation</t>
  </si>
  <si>
    <t>Profit and Loss</t>
  </si>
  <si>
    <t>July 2023 -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</si>
</sst>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Aptos Narrow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6"/>
  <sheetViews>
    <sheetView tabSelected="1" workbookViewId="0">
      <selection sqref="A1:B1"/>
    </sheetView>
  </sheetViews>
  <sheetFormatPr defaultRowHeight="15" x14ac:dyDescent="0.25"/>
  <cols>
    <col min="1" max="1" width="39.5703125" customWidth="1"/>
    <col min="2" max="2" width="25.7109375" customWidth="1"/>
  </cols>
  <sheetData>
    <row r="1" spans="1:2" ht="18" x14ac:dyDescent="0.25">
      <c r="A1" s="10" t="s">
        <v>129</v>
      </c>
      <c r="B1" s="9"/>
    </row>
    <row r="2" spans="1:2" ht="18" x14ac:dyDescent="0.25">
      <c r="A2" s="10" t="s">
        <v>130</v>
      </c>
      <c r="B2" s="9"/>
    </row>
    <row r="3" spans="1:2" x14ac:dyDescent="0.25">
      <c r="A3" s="11" t="s">
        <v>131</v>
      </c>
      <c r="B3" s="9"/>
    </row>
    <row r="5" spans="1:2" x14ac:dyDescent="0.25">
      <c r="A5" s="1"/>
      <c r="B5" s="2" t="s">
        <v>0</v>
      </c>
    </row>
    <row r="6" spans="1:2" x14ac:dyDescent="0.25">
      <c r="A6" s="3" t="s">
        <v>1</v>
      </c>
      <c r="B6" s="4"/>
    </row>
    <row r="7" spans="1:2" x14ac:dyDescent="0.25">
      <c r="A7" s="3" t="s">
        <v>2</v>
      </c>
      <c r="B7" s="4"/>
    </row>
    <row r="8" spans="1:2" x14ac:dyDescent="0.25">
      <c r="A8" s="3" t="s">
        <v>3</v>
      </c>
      <c r="B8" s="5">
        <f>26600.01</f>
        <v>26600.01</v>
      </c>
    </row>
    <row r="9" spans="1:2" x14ac:dyDescent="0.25">
      <c r="A9" s="3" t="s">
        <v>4</v>
      </c>
      <c r="B9" s="5">
        <f>6470</f>
        <v>6470</v>
      </c>
    </row>
    <row r="10" spans="1:2" x14ac:dyDescent="0.25">
      <c r="A10" s="3" t="s">
        <v>5</v>
      </c>
      <c r="B10" s="6">
        <f>((B7)+(B8))+(B9)</f>
        <v>33070.009999999995</v>
      </c>
    </row>
    <row r="11" spans="1:2" x14ac:dyDescent="0.25">
      <c r="A11" s="3" t="s">
        <v>6</v>
      </c>
      <c r="B11" s="4"/>
    </row>
    <row r="12" spans="1:2" x14ac:dyDescent="0.25">
      <c r="A12" s="3" t="s">
        <v>7</v>
      </c>
      <c r="B12" s="5">
        <f>7500</f>
        <v>7500</v>
      </c>
    </row>
    <row r="13" spans="1:2" x14ac:dyDescent="0.25">
      <c r="A13" s="3" t="s">
        <v>8</v>
      </c>
      <c r="B13" s="5">
        <f>15000</f>
        <v>15000</v>
      </c>
    </row>
    <row r="14" spans="1:2" x14ac:dyDescent="0.25">
      <c r="A14" s="3" t="s">
        <v>9</v>
      </c>
      <c r="B14" s="6">
        <f>((B11)+(B12))+(B13)</f>
        <v>22500</v>
      </c>
    </row>
    <row r="15" spans="1:2" x14ac:dyDescent="0.25">
      <c r="A15" s="3" t="s">
        <v>10</v>
      </c>
      <c r="B15" s="4"/>
    </row>
    <row r="16" spans="1:2" x14ac:dyDescent="0.25">
      <c r="A16" s="3" t="s">
        <v>11</v>
      </c>
      <c r="B16" s="5">
        <f>65738.22</f>
        <v>65738.22</v>
      </c>
    </row>
    <row r="17" spans="1:2" x14ac:dyDescent="0.25">
      <c r="A17" s="3" t="s">
        <v>12</v>
      </c>
      <c r="B17" s="6">
        <f>(B15)+(B16)</f>
        <v>65738.22</v>
      </c>
    </row>
    <row r="18" spans="1:2" x14ac:dyDescent="0.25">
      <c r="A18" s="3" t="s">
        <v>13</v>
      </c>
      <c r="B18" s="4"/>
    </row>
    <row r="19" spans="1:2" x14ac:dyDescent="0.25">
      <c r="A19" s="3" t="s">
        <v>14</v>
      </c>
      <c r="B19" s="5">
        <f>581.01</f>
        <v>581.01</v>
      </c>
    </row>
    <row r="20" spans="1:2" x14ac:dyDescent="0.25">
      <c r="A20" s="3" t="s">
        <v>15</v>
      </c>
      <c r="B20" s="5">
        <f>3274</f>
        <v>3274</v>
      </c>
    </row>
    <row r="21" spans="1:2" x14ac:dyDescent="0.25">
      <c r="A21" s="3" t="s">
        <v>16</v>
      </c>
      <c r="B21" s="6">
        <f>((B18)+(B19))+(B20)</f>
        <v>3855.01</v>
      </c>
    </row>
    <row r="22" spans="1:2" x14ac:dyDescent="0.25">
      <c r="A22" s="3" t="s">
        <v>17</v>
      </c>
      <c r="B22" s="4"/>
    </row>
    <row r="23" spans="1:2" x14ac:dyDescent="0.25">
      <c r="A23" s="3" t="s">
        <v>18</v>
      </c>
      <c r="B23" s="5">
        <f>48156.2</f>
        <v>48156.2</v>
      </c>
    </row>
    <row r="24" spans="1:2" x14ac:dyDescent="0.25">
      <c r="A24" s="3" t="s">
        <v>19</v>
      </c>
      <c r="B24" s="5">
        <f>3750</f>
        <v>3750</v>
      </c>
    </row>
    <row r="25" spans="1:2" x14ac:dyDescent="0.25">
      <c r="A25" s="3" t="s">
        <v>20</v>
      </c>
      <c r="B25" s="6">
        <f>((B22)+(B23))+(B24)</f>
        <v>51906.2</v>
      </c>
    </row>
    <row r="26" spans="1:2" x14ac:dyDescent="0.25">
      <c r="A26" s="3" t="s">
        <v>21</v>
      </c>
      <c r="B26" s="4"/>
    </row>
    <row r="27" spans="1:2" x14ac:dyDescent="0.25">
      <c r="A27" s="3" t="s">
        <v>22</v>
      </c>
      <c r="B27" s="5">
        <f>592.51</f>
        <v>592.51</v>
      </c>
    </row>
    <row r="28" spans="1:2" x14ac:dyDescent="0.25">
      <c r="A28" s="3" t="s">
        <v>23</v>
      </c>
      <c r="B28" s="5">
        <f>11020.44</f>
        <v>11020.44</v>
      </c>
    </row>
    <row r="29" spans="1:2" x14ac:dyDescent="0.25">
      <c r="A29" s="3" t="s">
        <v>24</v>
      </c>
      <c r="B29" s="5">
        <f>22.58</f>
        <v>22.58</v>
      </c>
    </row>
    <row r="30" spans="1:2" x14ac:dyDescent="0.25">
      <c r="A30" s="3" t="s">
        <v>25</v>
      </c>
      <c r="B30" s="5">
        <f>1836.94</f>
        <v>1836.94</v>
      </c>
    </row>
    <row r="31" spans="1:2" x14ac:dyDescent="0.25">
      <c r="A31" s="3" t="s">
        <v>26</v>
      </c>
      <c r="B31" s="5">
        <f>35056.1</f>
        <v>35056.1</v>
      </c>
    </row>
    <row r="32" spans="1:2" x14ac:dyDescent="0.25">
      <c r="A32" s="3" t="s">
        <v>27</v>
      </c>
      <c r="B32" s="6">
        <f>(((((B26)+(B27))+(B28))+(B29))+(B30))+(B31)</f>
        <v>48528.57</v>
      </c>
    </row>
    <row r="33" spans="1:2" x14ac:dyDescent="0.25">
      <c r="A33" s="3" t="s">
        <v>28</v>
      </c>
      <c r="B33" s="4"/>
    </row>
    <row r="34" spans="1:2" x14ac:dyDescent="0.25">
      <c r="A34" s="3" t="s">
        <v>29</v>
      </c>
      <c r="B34" s="5">
        <f>3100</f>
        <v>3100</v>
      </c>
    </row>
    <row r="35" spans="1:2" x14ac:dyDescent="0.25">
      <c r="A35" s="3" t="s">
        <v>30</v>
      </c>
      <c r="B35" s="6">
        <f>(B33)+(B34)</f>
        <v>3100</v>
      </c>
    </row>
    <row r="36" spans="1:2" x14ac:dyDescent="0.25">
      <c r="A36" s="3" t="s">
        <v>31</v>
      </c>
      <c r="B36" s="4"/>
    </row>
    <row r="37" spans="1:2" x14ac:dyDescent="0.25">
      <c r="A37" s="3" t="s">
        <v>32</v>
      </c>
      <c r="B37" s="5">
        <f>4231.5</f>
        <v>4231.5</v>
      </c>
    </row>
    <row r="38" spans="1:2" x14ac:dyDescent="0.25">
      <c r="A38" s="3" t="s">
        <v>33</v>
      </c>
      <c r="B38" s="5">
        <f>9998.02</f>
        <v>9998.02</v>
      </c>
    </row>
    <row r="39" spans="1:2" x14ac:dyDescent="0.25">
      <c r="A39" s="3" t="s">
        <v>34</v>
      </c>
      <c r="B39" s="5">
        <f>101861.13</f>
        <v>101861.13</v>
      </c>
    </row>
    <row r="40" spans="1:2" x14ac:dyDescent="0.25">
      <c r="A40" s="3" t="s">
        <v>35</v>
      </c>
      <c r="B40" s="5">
        <f>44760.91</f>
        <v>44760.91</v>
      </c>
    </row>
    <row r="41" spans="1:2" x14ac:dyDescent="0.25">
      <c r="A41" s="3" t="s">
        <v>36</v>
      </c>
      <c r="B41" s="5">
        <f>1410.01</f>
        <v>1410.01</v>
      </c>
    </row>
    <row r="42" spans="1:2" x14ac:dyDescent="0.25">
      <c r="A42" s="3" t="s">
        <v>37</v>
      </c>
      <c r="B42" s="6">
        <f>(((((B36)+(B37))+(B38))+(B39))+(B40))+(B41)</f>
        <v>162261.57</v>
      </c>
    </row>
    <row r="43" spans="1:2" x14ac:dyDescent="0.25">
      <c r="A43" s="3" t="s">
        <v>38</v>
      </c>
      <c r="B43" s="6">
        <f>(((((((B10)+(B14))+(B17))+(B21))+(B25))+(B32))+(B35))+(B42)</f>
        <v>390959.58</v>
      </c>
    </row>
    <row r="44" spans="1:2" x14ac:dyDescent="0.25">
      <c r="A44" s="3" t="s">
        <v>39</v>
      </c>
      <c r="B44" s="6">
        <f>(B43)-(0)</f>
        <v>390959.58</v>
      </c>
    </row>
    <row r="45" spans="1:2" x14ac:dyDescent="0.25">
      <c r="A45" s="3" t="s">
        <v>40</v>
      </c>
      <c r="B45" s="4"/>
    </row>
    <row r="46" spans="1:2" x14ac:dyDescent="0.25">
      <c r="A46" s="3" t="s">
        <v>41</v>
      </c>
      <c r="B46" s="4"/>
    </row>
    <row r="47" spans="1:2" x14ac:dyDescent="0.25">
      <c r="A47" s="3" t="s">
        <v>42</v>
      </c>
      <c r="B47" s="5">
        <f>99</f>
        <v>99</v>
      </c>
    </row>
    <row r="48" spans="1:2" x14ac:dyDescent="0.25">
      <c r="A48" s="3" t="s">
        <v>43</v>
      </c>
      <c r="B48" s="5">
        <f>5000</f>
        <v>5000</v>
      </c>
    </row>
    <row r="49" spans="1:2" x14ac:dyDescent="0.25">
      <c r="A49" s="3" t="s">
        <v>44</v>
      </c>
      <c r="B49" s="6">
        <f>((B46)+(B47))+(B48)</f>
        <v>5099</v>
      </c>
    </row>
    <row r="50" spans="1:2" x14ac:dyDescent="0.25">
      <c r="A50" s="3" t="s">
        <v>45</v>
      </c>
      <c r="B50" s="4"/>
    </row>
    <row r="51" spans="1:2" x14ac:dyDescent="0.25">
      <c r="A51" s="3" t="s">
        <v>46</v>
      </c>
      <c r="B51" s="5">
        <f>10344.03</f>
        <v>10344.030000000001</v>
      </c>
    </row>
    <row r="52" spans="1:2" x14ac:dyDescent="0.25">
      <c r="A52" s="3" t="s">
        <v>47</v>
      </c>
      <c r="B52" s="6">
        <f>(B50)+(B51)</f>
        <v>10344.030000000001</v>
      </c>
    </row>
    <row r="53" spans="1:2" x14ac:dyDescent="0.25">
      <c r="A53" s="3" t="s">
        <v>48</v>
      </c>
      <c r="B53" s="4"/>
    </row>
    <row r="54" spans="1:2" x14ac:dyDescent="0.25">
      <c r="A54" s="3" t="s">
        <v>49</v>
      </c>
      <c r="B54" s="5">
        <f>700</f>
        <v>700</v>
      </c>
    </row>
    <row r="55" spans="1:2" x14ac:dyDescent="0.25">
      <c r="A55" s="3" t="s">
        <v>50</v>
      </c>
      <c r="B55" s="5">
        <f>1650</f>
        <v>1650</v>
      </c>
    </row>
    <row r="56" spans="1:2" x14ac:dyDescent="0.25">
      <c r="A56" s="3" t="s">
        <v>51</v>
      </c>
      <c r="B56" s="5">
        <f>2251.5</f>
        <v>2251.5</v>
      </c>
    </row>
    <row r="57" spans="1:2" x14ac:dyDescent="0.25">
      <c r="A57" s="3" t="s">
        <v>52</v>
      </c>
      <c r="B57" s="5">
        <f>17652.02</f>
        <v>17652.02</v>
      </c>
    </row>
    <row r="58" spans="1:2" x14ac:dyDescent="0.25">
      <c r="A58" s="3" t="s">
        <v>53</v>
      </c>
      <c r="B58" s="5">
        <f>6990</f>
        <v>6990</v>
      </c>
    </row>
    <row r="59" spans="1:2" x14ac:dyDescent="0.25">
      <c r="A59" s="3" t="s">
        <v>54</v>
      </c>
      <c r="B59" s="6">
        <f>(((((B53)+(B54))+(B55))+(B56))+(B57))+(B58)</f>
        <v>29243.52</v>
      </c>
    </row>
    <row r="60" spans="1:2" x14ac:dyDescent="0.25">
      <c r="A60" s="3" t="s">
        <v>55</v>
      </c>
      <c r="B60" s="4"/>
    </row>
    <row r="61" spans="1:2" x14ac:dyDescent="0.25">
      <c r="A61" s="3" t="s">
        <v>56</v>
      </c>
      <c r="B61" s="5">
        <f>50473.43</f>
        <v>50473.43</v>
      </c>
    </row>
    <row r="62" spans="1:2" x14ac:dyDescent="0.25">
      <c r="A62" s="3" t="s">
        <v>57</v>
      </c>
      <c r="B62" s="5">
        <f>419.16</f>
        <v>419.16</v>
      </c>
    </row>
    <row r="63" spans="1:2" x14ac:dyDescent="0.25">
      <c r="A63" s="3" t="s">
        <v>58</v>
      </c>
      <c r="B63" s="5">
        <f>14369.77</f>
        <v>14369.77</v>
      </c>
    </row>
    <row r="64" spans="1:2" x14ac:dyDescent="0.25">
      <c r="A64" s="3" t="s">
        <v>59</v>
      </c>
      <c r="B64" s="5">
        <f>300</f>
        <v>300</v>
      </c>
    </row>
    <row r="65" spans="1:2" x14ac:dyDescent="0.25">
      <c r="A65" s="3" t="s">
        <v>60</v>
      </c>
      <c r="B65" s="5">
        <f>6100</f>
        <v>6100</v>
      </c>
    </row>
    <row r="66" spans="1:2" x14ac:dyDescent="0.25">
      <c r="A66" s="3" t="s">
        <v>61</v>
      </c>
      <c r="B66" s="5">
        <f>106.16</f>
        <v>106.16</v>
      </c>
    </row>
    <row r="67" spans="1:2" x14ac:dyDescent="0.25">
      <c r="A67" s="3" t="s">
        <v>62</v>
      </c>
      <c r="B67" s="5">
        <f>5302.7</f>
        <v>5302.7</v>
      </c>
    </row>
    <row r="68" spans="1:2" x14ac:dyDescent="0.25">
      <c r="A68" s="3" t="s">
        <v>63</v>
      </c>
      <c r="B68" s="5">
        <f>112</f>
        <v>112</v>
      </c>
    </row>
    <row r="69" spans="1:2" x14ac:dyDescent="0.25">
      <c r="A69" s="3" t="s">
        <v>64</v>
      </c>
      <c r="B69" s="5">
        <f>1683.82</f>
        <v>1683.82</v>
      </c>
    </row>
    <row r="70" spans="1:2" x14ac:dyDescent="0.25">
      <c r="A70" s="3" t="s">
        <v>65</v>
      </c>
      <c r="B70" s="5">
        <f>1294.87</f>
        <v>1294.8699999999999</v>
      </c>
    </row>
    <row r="71" spans="1:2" x14ac:dyDescent="0.25">
      <c r="A71" s="3" t="s">
        <v>66</v>
      </c>
      <c r="B71" s="5">
        <f>2086.61</f>
        <v>2086.61</v>
      </c>
    </row>
    <row r="72" spans="1:2" x14ac:dyDescent="0.25">
      <c r="A72" s="3" t="s">
        <v>67</v>
      </c>
      <c r="B72" s="6">
        <f>(((((((((((B60)+(B61))+(B62))+(B63))+(B64))+(B65))+(B66))+(B67))+(B68))+(B69))+(B70))+(B71)</f>
        <v>82248.52</v>
      </c>
    </row>
    <row r="73" spans="1:2" x14ac:dyDescent="0.25">
      <c r="A73" s="3" t="s">
        <v>68</v>
      </c>
      <c r="B73" s="4"/>
    </row>
    <row r="74" spans="1:2" x14ac:dyDescent="0.25">
      <c r="A74" s="3" t="s">
        <v>69</v>
      </c>
      <c r="B74" s="5">
        <f>72159.72</f>
        <v>72159.72</v>
      </c>
    </row>
    <row r="75" spans="1:2" x14ac:dyDescent="0.25">
      <c r="A75" s="3" t="s">
        <v>70</v>
      </c>
      <c r="B75" s="5">
        <f>1033.17</f>
        <v>1033.17</v>
      </c>
    </row>
    <row r="76" spans="1:2" x14ac:dyDescent="0.25">
      <c r="A76" s="3" t="s">
        <v>71</v>
      </c>
      <c r="B76" s="5">
        <f>4426.26</f>
        <v>4426.26</v>
      </c>
    </row>
    <row r="77" spans="1:2" x14ac:dyDescent="0.25">
      <c r="A77" s="3" t="s">
        <v>72</v>
      </c>
      <c r="B77" s="5">
        <f>190.34</f>
        <v>190.34</v>
      </c>
    </row>
    <row r="78" spans="1:2" x14ac:dyDescent="0.25">
      <c r="A78" s="3" t="s">
        <v>73</v>
      </c>
      <c r="B78" s="5">
        <f>349.8</f>
        <v>349.8</v>
      </c>
    </row>
    <row r="79" spans="1:2" x14ac:dyDescent="0.25">
      <c r="A79" s="3" t="s">
        <v>74</v>
      </c>
      <c r="B79" s="5">
        <f>3631.98</f>
        <v>3631.98</v>
      </c>
    </row>
    <row r="80" spans="1:2" x14ac:dyDescent="0.25">
      <c r="A80" s="3" t="s">
        <v>75</v>
      </c>
      <c r="B80" s="5">
        <f>2765.75</f>
        <v>2765.75</v>
      </c>
    </row>
    <row r="81" spans="1:2" x14ac:dyDescent="0.25">
      <c r="A81" s="3" t="s">
        <v>76</v>
      </c>
      <c r="B81" s="5">
        <f>4658.48</f>
        <v>4658.4799999999996</v>
      </c>
    </row>
    <row r="82" spans="1:2" x14ac:dyDescent="0.25">
      <c r="A82" s="3" t="s">
        <v>77</v>
      </c>
      <c r="B82" s="5">
        <f>277.06</f>
        <v>277.06</v>
      </c>
    </row>
    <row r="83" spans="1:2" x14ac:dyDescent="0.25">
      <c r="A83" s="3" t="s">
        <v>78</v>
      </c>
      <c r="B83" s="5">
        <f>376.1</f>
        <v>376.1</v>
      </c>
    </row>
    <row r="84" spans="1:2" x14ac:dyDescent="0.25">
      <c r="A84" s="3" t="s">
        <v>79</v>
      </c>
      <c r="B84" s="5">
        <f>2158.4</f>
        <v>2158.4</v>
      </c>
    </row>
    <row r="85" spans="1:2" x14ac:dyDescent="0.25">
      <c r="A85" s="3" t="s">
        <v>80</v>
      </c>
      <c r="B85" s="5">
        <f>1130</f>
        <v>1130</v>
      </c>
    </row>
    <row r="86" spans="1:2" x14ac:dyDescent="0.25">
      <c r="A86" s="3" t="s">
        <v>81</v>
      </c>
      <c r="B86" s="5">
        <f>1374.12</f>
        <v>1374.12</v>
      </c>
    </row>
    <row r="87" spans="1:2" x14ac:dyDescent="0.25">
      <c r="A87" s="3" t="s">
        <v>82</v>
      </c>
      <c r="B87" s="6">
        <f>(((((((((((((B73)+(B74))+(B75))+(B76))+(B77))+(B78))+(B79))+(B80))+(B81))+(B82))+(B83))+(B84))+(B85))+(B86)</f>
        <v>94531.179999999978</v>
      </c>
    </row>
    <row r="88" spans="1:2" x14ac:dyDescent="0.25">
      <c r="A88" s="3" t="s">
        <v>83</v>
      </c>
      <c r="B88" s="4"/>
    </row>
    <row r="89" spans="1:2" x14ac:dyDescent="0.25">
      <c r="A89" s="3" t="s">
        <v>84</v>
      </c>
      <c r="B89" s="5">
        <f>4108.27</f>
        <v>4108.2700000000004</v>
      </c>
    </row>
    <row r="90" spans="1:2" x14ac:dyDescent="0.25">
      <c r="A90" s="3" t="s">
        <v>85</v>
      </c>
      <c r="B90" s="5">
        <f>211.67</f>
        <v>211.67</v>
      </c>
    </row>
    <row r="91" spans="1:2" x14ac:dyDescent="0.25">
      <c r="A91" s="3" t="s">
        <v>86</v>
      </c>
      <c r="B91" s="5">
        <f>3485.13</f>
        <v>3485.13</v>
      </c>
    </row>
    <row r="92" spans="1:2" x14ac:dyDescent="0.25">
      <c r="A92" s="3" t="s">
        <v>87</v>
      </c>
      <c r="B92" s="5">
        <f>30.45</f>
        <v>30.45</v>
      </c>
    </row>
    <row r="93" spans="1:2" x14ac:dyDescent="0.25">
      <c r="A93" s="3" t="s">
        <v>88</v>
      </c>
      <c r="B93" s="5">
        <f>395.83</f>
        <v>395.83</v>
      </c>
    </row>
    <row r="94" spans="1:2" x14ac:dyDescent="0.25">
      <c r="A94" s="3" t="s">
        <v>89</v>
      </c>
      <c r="B94" s="6">
        <f>(((((B88)+(B89))+(B90))+(B91))+(B92))+(B93)</f>
        <v>8231.35</v>
      </c>
    </row>
    <row r="95" spans="1:2" x14ac:dyDescent="0.25">
      <c r="A95" s="3" t="s">
        <v>90</v>
      </c>
      <c r="B95" s="4"/>
    </row>
    <row r="96" spans="1:2" x14ac:dyDescent="0.25">
      <c r="A96" s="3" t="s">
        <v>91</v>
      </c>
      <c r="B96" s="5">
        <f>1755.73</f>
        <v>1755.73</v>
      </c>
    </row>
    <row r="97" spans="1:2" x14ac:dyDescent="0.25">
      <c r="A97" s="3" t="s">
        <v>92</v>
      </c>
      <c r="B97" s="5">
        <f>1940</f>
        <v>1940</v>
      </c>
    </row>
    <row r="98" spans="1:2" x14ac:dyDescent="0.25">
      <c r="A98" s="3" t="s">
        <v>93</v>
      </c>
      <c r="B98" s="5">
        <f>760</f>
        <v>760</v>
      </c>
    </row>
    <row r="99" spans="1:2" x14ac:dyDescent="0.25">
      <c r="A99" s="3" t="s">
        <v>94</v>
      </c>
      <c r="B99" s="5">
        <f>147.45</f>
        <v>147.44999999999999</v>
      </c>
    </row>
    <row r="100" spans="1:2" x14ac:dyDescent="0.25">
      <c r="A100" s="3" t="s">
        <v>95</v>
      </c>
      <c r="B100" s="5">
        <f>4784.51</f>
        <v>4784.51</v>
      </c>
    </row>
    <row r="101" spans="1:2" x14ac:dyDescent="0.25">
      <c r="A101" s="3" t="s">
        <v>96</v>
      </c>
      <c r="B101" s="5">
        <f>2687.71</f>
        <v>2687.71</v>
      </c>
    </row>
    <row r="102" spans="1:2" x14ac:dyDescent="0.25">
      <c r="A102" s="3" t="s">
        <v>97</v>
      </c>
      <c r="B102" s="5">
        <f>293.63</f>
        <v>293.63</v>
      </c>
    </row>
    <row r="103" spans="1:2" x14ac:dyDescent="0.25">
      <c r="A103" s="3" t="s">
        <v>98</v>
      </c>
      <c r="B103" s="5">
        <f>3241.83</f>
        <v>3241.83</v>
      </c>
    </row>
    <row r="104" spans="1:2" x14ac:dyDescent="0.25">
      <c r="A104" s="3" t="s">
        <v>99</v>
      </c>
      <c r="B104" s="6">
        <f>((((((((B95)+(B96))+(B97))+(B98))+(B99))+(B100))+(B101))+(B102))+(B103)</f>
        <v>15610.859999999997</v>
      </c>
    </row>
    <row r="105" spans="1:2" x14ac:dyDescent="0.25">
      <c r="A105" s="3" t="s">
        <v>100</v>
      </c>
      <c r="B105" s="4"/>
    </row>
    <row r="106" spans="1:2" x14ac:dyDescent="0.25">
      <c r="A106" s="3" t="s">
        <v>101</v>
      </c>
      <c r="B106" s="5">
        <f>3466.17</f>
        <v>3466.17</v>
      </c>
    </row>
    <row r="107" spans="1:2" x14ac:dyDescent="0.25">
      <c r="A107" s="3" t="s">
        <v>102</v>
      </c>
      <c r="B107" s="5">
        <f>281.75</f>
        <v>281.75</v>
      </c>
    </row>
    <row r="108" spans="1:2" x14ac:dyDescent="0.25">
      <c r="A108" s="3" t="s">
        <v>103</v>
      </c>
      <c r="B108" s="5">
        <f>5376.1</f>
        <v>5376.1</v>
      </c>
    </row>
    <row r="109" spans="1:2" x14ac:dyDescent="0.25">
      <c r="A109" s="3" t="s">
        <v>104</v>
      </c>
      <c r="B109" s="5">
        <f>100</f>
        <v>100</v>
      </c>
    </row>
    <row r="110" spans="1:2" x14ac:dyDescent="0.25">
      <c r="A110" s="3" t="s">
        <v>105</v>
      </c>
      <c r="B110" s="6">
        <f>((((B105)+(B106))+(B107))+(B108))+(B109)</f>
        <v>9224.02</v>
      </c>
    </row>
    <row r="111" spans="1:2" x14ac:dyDescent="0.25">
      <c r="A111" s="3" t="s">
        <v>106</v>
      </c>
      <c r="B111" s="4"/>
    </row>
    <row r="112" spans="1:2" x14ac:dyDescent="0.25">
      <c r="A112" s="3" t="s">
        <v>107</v>
      </c>
      <c r="B112" s="5">
        <f>4108.36</f>
        <v>4108.3599999999997</v>
      </c>
    </row>
    <row r="113" spans="1:2" x14ac:dyDescent="0.25">
      <c r="A113" s="3" t="s">
        <v>108</v>
      </c>
      <c r="B113" s="5">
        <f>5341.03</f>
        <v>5341.03</v>
      </c>
    </row>
    <row r="114" spans="1:2" x14ac:dyDescent="0.25">
      <c r="A114" s="3" t="s">
        <v>109</v>
      </c>
      <c r="B114" s="5">
        <f>21800.33</f>
        <v>21800.33</v>
      </c>
    </row>
    <row r="115" spans="1:2" x14ac:dyDescent="0.25">
      <c r="A115" s="3" t="s">
        <v>110</v>
      </c>
      <c r="B115" s="5">
        <f>7700</f>
        <v>7700</v>
      </c>
    </row>
    <row r="116" spans="1:2" x14ac:dyDescent="0.25">
      <c r="A116" s="3" t="s">
        <v>111</v>
      </c>
      <c r="B116" s="5">
        <f>14967.95</f>
        <v>14967.95</v>
      </c>
    </row>
    <row r="117" spans="1:2" x14ac:dyDescent="0.25">
      <c r="A117" s="3" t="s">
        <v>112</v>
      </c>
      <c r="B117" s="5">
        <f>1059.09</f>
        <v>1059.0899999999999</v>
      </c>
    </row>
    <row r="118" spans="1:2" x14ac:dyDescent="0.25">
      <c r="A118" s="3" t="s">
        <v>113</v>
      </c>
      <c r="B118" s="5">
        <f>590.33</f>
        <v>590.33000000000004</v>
      </c>
    </row>
    <row r="119" spans="1:2" x14ac:dyDescent="0.25">
      <c r="A119" s="3" t="s">
        <v>114</v>
      </c>
      <c r="B119" s="5">
        <f>1730.34</f>
        <v>1730.34</v>
      </c>
    </row>
    <row r="120" spans="1:2" x14ac:dyDescent="0.25">
      <c r="A120" s="3" t="s">
        <v>115</v>
      </c>
      <c r="B120" s="5">
        <f>1781.19</f>
        <v>1781.19</v>
      </c>
    </row>
    <row r="121" spans="1:2" x14ac:dyDescent="0.25">
      <c r="A121" s="3" t="s">
        <v>116</v>
      </c>
      <c r="B121" s="5">
        <f>2267.25</f>
        <v>2267.25</v>
      </c>
    </row>
    <row r="122" spans="1:2" x14ac:dyDescent="0.25">
      <c r="A122" s="3" t="s">
        <v>117</v>
      </c>
      <c r="B122" s="5">
        <f>44960.95</f>
        <v>44960.95</v>
      </c>
    </row>
    <row r="123" spans="1:2" x14ac:dyDescent="0.25">
      <c r="A123" s="3" t="s">
        <v>118</v>
      </c>
      <c r="B123" s="5">
        <f>19023.18</f>
        <v>19023.18</v>
      </c>
    </row>
    <row r="124" spans="1:2" x14ac:dyDescent="0.25">
      <c r="A124" s="3" t="s">
        <v>119</v>
      </c>
      <c r="B124" s="5">
        <f>259.3</f>
        <v>259.3</v>
      </c>
    </row>
    <row r="125" spans="1:2" x14ac:dyDescent="0.25">
      <c r="A125" s="3" t="s">
        <v>120</v>
      </c>
      <c r="B125" s="5">
        <f>5149.95</f>
        <v>5149.95</v>
      </c>
    </row>
    <row r="126" spans="1:2" x14ac:dyDescent="0.25">
      <c r="A126" s="3" t="s">
        <v>121</v>
      </c>
      <c r="B126" s="5">
        <f>875</f>
        <v>875</v>
      </c>
    </row>
    <row r="127" spans="1:2" x14ac:dyDescent="0.25">
      <c r="A127" s="3" t="s">
        <v>122</v>
      </c>
      <c r="B127" s="5">
        <f>3189.32</f>
        <v>3189.32</v>
      </c>
    </row>
    <row r="128" spans="1:2" x14ac:dyDescent="0.25">
      <c r="A128" s="3" t="s">
        <v>123</v>
      </c>
      <c r="B128" s="5">
        <f>0</f>
        <v>0</v>
      </c>
    </row>
    <row r="129" spans="1:2" x14ac:dyDescent="0.25">
      <c r="A129" s="3" t="s">
        <v>124</v>
      </c>
      <c r="B129" s="6">
        <f>(((((((((((((((((B111)+(B112))+(B113))+(B114))+(B115))+(B116))+(B117))+(B118))+(B119))+(B120))+(B121))+(B122))+(B123))+(B124))+(B125))+(B126))+(B127))+(B128)</f>
        <v>134803.57</v>
      </c>
    </row>
    <row r="130" spans="1:2" x14ac:dyDescent="0.25">
      <c r="A130" s="3" t="s">
        <v>125</v>
      </c>
      <c r="B130" s="6">
        <f>((((((((B49)+(B52))+(B59))+(B72))+(B87))+(B94))+(B104))+(B110))+(B129)</f>
        <v>389336.05</v>
      </c>
    </row>
    <row r="131" spans="1:2" x14ac:dyDescent="0.25">
      <c r="A131" s="3" t="s">
        <v>126</v>
      </c>
      <c r="B131" s="6">
        <f>(B44)-(B130)</f>
        <v>1623.5300000000279</v>
      </c>
    </row>
    <row r="132" spans="1:2" x14ac:dyDescent="0.25">
      <c r="A132" s="3" t="s">
        <v>127</v>
      </c>
      <c r="B132" s="7">
        <f>(B131)+(0)</f>
        <v>1623.5300000000279</v>
      </c>
    </row>
    <row r="133" spans="1:2" x14ac:dyDescent="0.25">
      <c r="A133" s="3"/>
      <c r="B133" s="4"/>
    </row>
    <row r="136" spans="1:2" x14ac:dyDescent="0.25">
      <c r="A136" s="8" t="s">
        <v>128</v>
      </c>
      <c r="B136" s="9"/>
    </row>
  </sheetData>
  <mergeCells count="4">
    <mergeCell ref="A136:B136"/>
    <mergeCell ref="A1:B1"/>
    <mergeCell ref="A2:B2"/>
    <mergeCell ref="A3:B3"/>
  </mergeCells>
  <pageMargins left="0.7" right="0.7" top="0.75" bottom="0.75" header="0.3" footer="0.3"/>
  <pageSetup orientation="portrait" r:id="rId1"/>
  <headerFoot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Profit and Loss</vt:lpstr>
      <vt:lpstr>'Profit and Loss'!Print_Area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Ginger Greaves</cp:lastModifiedBy>
  <cp:lastPrinted>2024-06-24T16:20:48Z</cp:lastPrinted>
  <dcterms:created xsi:type="dcterms:W3CDTF">2024-06-24T15:57:55Z</dcterms:created>
  <dcterms:modified xsi:type="dcterms:W3CDTF">2024-06-24T23:19:59Z</dcterms:modified>
</cp:coreProperties>
</file>