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NGER\Documents\SRPF\BOARD MATERIALS\SHIRLEY'S REPORTS\MONTHLY FINANCIALS\"/>
    </mc:Choice>
  </mc:AlternateContent>
  <xr:revisionPtr revIDLastSave="0" documentId="8_{38E87CD8-4605-4CEC-8615-E15E60521BF8}" xr6:coauthVersionLast="47" xr6:coauthVersionMax="47" xr10:uidLastSave="{00000000-0000-0000-0000-000000000000}"/>
  <bookViews>
    <workbookView xWindow="-120" yWindow="600" windowWidth="19440" windowHeight="10440" xr2:uid="{00000000-000D-0000-FFFF-FFFF00000000}"/>
  </bookViews>
  <sheets>
    <sheet name="Profit and Loss by Month" sheetId="1" r:id="rId1"/>
  </sheets>
  <definedNames>
    <definedName name="_xlnm.Print_Area" localSheetId="0">'Profit and Loss by Month'!$A$1:$M$133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9" i="1" l="1"/>
  <c r="L128" i="1"/>
  <c r="G128" i="1"/>
  <c r="F128" i="1"/>
  <c r="E128" i="1"/>
  <c r="D128" i="1"/>
  <c r="C128" i="1"/>
  <c r="B128" i="1"/>
  <c r="M128" i="1" s="1"/>
  <c r="D127" i="1"/>
  <c r="C127" i="1"/>
  <c r="M127" i="1" s="1"/>
  <c r="M126" i="1"/>
  <c r="E126" i="1"/>
  <c r="L125" i="1"/>
  <c r="F125" i="1"/>
  <c r="M125" i="1" s="1"/>
  <c r="E125" i="1"/>
  <c r="D125" i="1"/>
  <c r="C125" i="1"/>
  <c r="B125" i="1"/>
  <c r="G124" i="1"/>
  <c r="E124" i="1"/>
  <c r="C124" i="1"/>
  <c r="M124" i="1" s="1"/>
  <c r="B124" i="1"/>
  <c r="L123" i="1"/>
  <c r="E123" i="1"/>
  <c r="D123" i="1"/>
  <c r="C123" i="1"/>
  <c r="M123" i="1" s="1"/>
  <c r="B123" i="1"/>
  <c r="M122" i="1"/>
  <c r="L122" i="1"/>
  <c r="K122" i="1"/>
  <c r="E122" i="1"/>
  <c r="D122" i="1"/>
  <c r="C122" i="1"/>
  <c r="B122" i="1"/>
  <c r="L121" i="1"/>
  <c r="I121" i="1"/>
  <c r="D121" i="1"/>
  <c r="C121" i="1"/>
  <c r="B121" i="1"/>
  <c r="M121" i="1" s="1"/>
  <c r="L120" i="1"/>
  <c r="K120" i="1"/>
  <c r="F120" i="1"/>
  <c r="M120" i="1" s="1"/>
  <c r="C120" i="1"/>
  <c r="L119" i="1"/>
  <c r="K119" i="1"/>
  <c r="J119" i="1"/>
  <c r="I119" i="1"/>
  <c r="M119" i="1" s="1"/>
  <c r="C119" i="1"/>
  <c r="M118" i="1"/>
  <c r="L118" i="1"/>
  <c r="E118" i="1"/>
  <c r="C118" i="1"/>
  <c r="B118" i="1"/>
  <c r="E117" i="1"/>
  <c r="M117" i="1" s="1"/>
  <c r="D117" i="1"/>
  <c r="M116" i="1"/>
  <c r="L116" i="1"/>
  <c r="F116" i="1"/>
  <c r="E116" i="1"/>
  <c r="D116" i="1"/>
  <c r="C116" i="1"/>
  <c r="B116" i="1"/>
  <c r="C115" i="1"/>
  <c r="M115" i="1" s="1"/>
  <c r="B115" i="1"/>
  <c r="L114" i="1"/>
  <c r="I114" i="1"/>
  <c r="F114" i="1"/>
  <c r="E114" i="1"/>
  <c r="D114" i="1"/>
  <c r="C114" i="1"/>
  <c r="M114" i="1" s="1"/>
  <c r="B114" i="1"/>
  <c r="E113" i="1"/>
  <c r="D113" i="1"/>
  <c r="C113" i="1"/>
  <c r="B113" i="1"/>
  <c r="M113" i="1" s="1"/>
  <c r="L112" i="1"/>
  <c r="L129" i="1" s="1"/>
  <c r="K112" i="1"/>
  <c r="K129" i="1" s="1"/>
  <c r="J112" i="1"/>
  <c r="I112" i="1"/>
  <c r="I129" i="1" s="1"/>
  <c r="H112" i="1"/>
  <c r="H129" i="1" s="1"/>
  <c r="G112" i="1"/>
  <c r="G129" i="1" s="1"/>
  <c r="F112" i="1"/>
  <c r="F129" i="1" s="1"/>
  <c r="E112" i="1"/>
  <c r="E129" i="1" s="1"/>
  <c r="D112" i="1"/>
  <c r="D129" i="1" s="1"/>
  <c r="C112" i="1"/>
  <c r="C129" i="1" s="1"/>
  <c r="B112" i="1"/>
  <c r="M112" i="1" s="1"/>
  <c r="M111" i="1"/>
  <c r="M109" i="1"/>
  <c r="G109" i="1"/>
  <c r="K108" i="1"/>
  <c r="J108" i="1"/>
  <c r="G108" i="1"/>
  <c r="F108" i="1"/>
  <c r="E108" i="1"/>
  <c r="D108" i="1"/>
  <c r="C108" i="1"/>
  <c r="B108" i="1"/>
  <c r="M108" i="1" s="1"/>
  <c r="K107" i="1"/>
  <c r="J107" i="1"/>
  <c r="G107" i="1"/>
  <c r="F107" i="1"/>
  <c r="E107" i="1"/>
  <c r="D107" i="1"/>
  <c r="C107" i="1"/>
  <c r="B107" i="1"/>
  <c r="M107" i="1" s="1"/>
  <c r="L106" i="1"/>
  <c r="L110" i="1" s="1"/>
  <c r="K106" i="1"/>
  <c r="K110" i="1" s="1"/>
  <c r="J106" i="1"/>
  <c r="J110" i="1" s="1"/>
  <c r="I106" i="1"/>
  <c r="I110" i="1" s="1"/>
  <c r="H106" i="1"/>
  <c r="H110" i="1" s="1"/>
  <c r="G106" i="1"/>
  <c r="G110" i="1" s="1"/>
  <c r="F106" i="1"/>
  <c r="F110" i="1" s="1"/>
  <c r="E106" i="1"/>
  <c r="E110" i="1" s="1"/>
  <c r="D106" i="1"/>
  <c r="D110" i="1" s="1"/>
  <c r="C106" i="1"/>
  <c r="M106" i="1" s="1"/>
  <c r="B106" i="1"/>
  <c r="B110" i="1" s="1"/>
  <c r="M105" i="1"/>
  <c r="F104" i="1"/>
  <c r="K103" i="1"/>
  <c r="J103" i="1"/>
  <c r="I103" i="1"/>
  <c r="H103" i="1"/>
  <c r="G103" i="1"/>
  <c r="F103" i="1"/>
  <c r="E103" i="1"/>
  <c r="D103" i="1"/>
  <c r="C103" i="1"/>
  <c r="B103" i="1"/>
  <c r="M103" i="1" s="1"/>
  <c r="M102" i="1"/>
  <c r="D102" i="1"/>
  <c r="L101" i="1"/>
  <c r="K101" i="1"/>
  <c r="J101" i="1"/>
  <c r="I101" i="1"/>
  <c r="H101" i="1"/>
  <c r="G101" i="1"/>
  <c r="F101" i="1"/>
  <c r="E101" i="1"/>
  <c r="M101" i="1" s="1"/>
  <c r="C101" i="1"/>
  <c r="C104" i="1" s="1"/>
  <c r="B101" i="1"/>
  <c r="L100" i="1"/>
  <c r="K100" i="1"/>
  <c r="J100" i="1"/>
  <c r="I100" i="1"/>
  <c r="H100" i="1"/>
  <c r="G100" i="1"/>
  <c r="G104" i="1" s="1"/>
  <c r="F100" i="1"/>
  <c r="E100" i="1"/>
  <c r="E104" i="1" s="1"/>
  <c r="D100" i="1"/>
  <c r="D104" i="1" s="1"/>
  <c r="C100" i="1"/>
  <c r="B100" i="1"/>
  <c r="M100" i="1" s="1"/>
  <c r="H99" i="1"/>
  <c r="M99" i="1" s="1"/>
  <c r="D98" i="1"/>
  <c r="C98" i="1"/>
  <c r="B98" i="1"/>
  <c r="M98" i="1" s="1"/>
  <c r="H97" i="1"/>
  <c r="H104" i="1" s="1"/>
  <c r="L96" i="1"/>
  <c r="L104" i="1" s="1"/>
  <c r="K96" i="1"/>
  <c r="K104" i="1" s="1"/>
  <c r="J96" i="1"/>
  <c r="J104" i="1" s="1"/>
  <c r="I96" i="1"/>
  <c r="I104" i="1" s="1"/>
  <c r="F96" i="1"/>
  <c r="D96" i="1"/>
  <c r="B96" i="1"/>
  <c r="M96" i="1" s="1"/>
  <c r="M95" i="1"/>
  <c r="G94" i="1"/>
  <c r="L93" i="1"/>
  <c r="F93" i="1"/>
  <c r="M93" i="1" s="1"/>
  <c r="E93" i="1"/>
  <c r="M92" i="1"/>
  <c r="K92" i="1"/>
  <c r="L91" i="1"/>
  <c r="K91" i="1"/>
  <c r="J91" i="1"/>
  <c r="I91" i="1"/>
  <c r="I94" i="1" s="1"/>
  <c r="H91" i="1"/>
  <c r="G91" i="1"/>
  <c r="F91" i="1"/>
  <c r="E91" i="1"/>
  <c r="D91" i="1"/>
  <c r="C91" i="1"/>
  <c r="M91" i="1" s="1"/>
  <c r="B91" i="1"/>
  <c r="L90" i="1"/>
  <c r="K90" i="1"/>
  <c r="J90" i="1"/>
  <c r="I90" i="1"/>
  <c r="F90" i="1"/>
  <c r="E90" i="1"/>
  <c r="E94" i="1" s="1"/>
  <c r="D90" i="1"/>
  <c r="C90" i="1"/>
  <c r="M90" i="1" s="1"/>
  <c r="L89" i="1"/>
  <c r="L94" i="1" s="1"/>
  <c r="K89" i="1"/>
  <c r="K94" i="1" s="1"/>
  <c r="J89" i="1"/>
  <c r="J94" i="1" s="1"/>
  <c r="I89" i="1"/>
  <c r="H89" i="1"/>
  <c r="H94" i="1" s="1"/>
  <c r="G89" i="1"/>
  <c r="F89" i="1"/>
  <c r="F94" i="1" s="1"/>
  <c r="E89" i="1"/>
  <c r="D89" i="1"/>
  <c r="D94" i="1" s="1"/>
  <c r="C89" i="1"/>
  <c r="C94" i="1" s="1"/>
  <c r="B89" i="1"/>
  <c r="M89" i="1" s="1"/>
  <c r="M88" i="1"/>
  <c r="K87" i="1"/>
  <c r="C87" i="1"/>
  <c r="L86" i="1"/>
  <c r="K86" i="1"/>
  <c r="I86" i="1"/>
  <c r="H86" i="1"/>
  <c r="E86" i="1"/>
  <c r="B86" i="1"/>
  <c r="M86" i="1" s="1"/>
  <c r="K85" i="1"/>
  <c r="G85" i="1"/>
  <c r="C85" i="1"/>
  <c r="M85" i="1" s="1"/>
  <c r="L84" i="1"/>
  <c r="K84" i="1"/>
  <c r="J84" i="1"/>
  <c r="G84" i="1"/>
  <c r="F84" i="1"/>
  <c r="E84" i="1"/>
  <c r="C84" i="1"/>
  <c r="M84" i="1" s="1"/>
  <c r="L83" i="1"/>
  <c r="M83" i="1" s="1"/>
  <c r="B83" i="1"/>
  <c r="M82" i="1"/>
  <c r="L82" i="1"/>
  <c r="I82" i="1"/>
  <c r="H82" i="1"/>
  <c r="G82" i="1"/>
  <c r="F82" i="1"/>
  <c r="C82" i="1"/>
  <c r="L81" i="1"/>
  <c r="K81" i="1"/>
  <c r="J81" i="1"/>
  <c r="I81" i="1"/>
  <c r="H81" i="1"/>
  <c r="G81" i="1"/>
  <c r="F81" i="1"/>
  <c r="E81" i="1"/>
  <c r="D81" i="1"/>
  <c r="C81" i="1"/>
  <c r="B81" i="1"/>
  <c r="M81" i="1" s="1"/>
  <c r="L80" i="1"/>
  <c r="J80" i="1"/>
  <c r="I80" i="1"/>
  <c r="H80" i="1"/>
  <c r="F80" i="1"/>
  <c r="E80" i="1"/>
  <c r="D80" i="1"/>
  <c r="C80" i="1"/>
  <c r="M80" i="1" s="1"/>
  <c r="L79" i="1"/>
  <c r="K79" i="1"/>
  <c r="J79" i="1"/>
  <c r="I79" i="1"/>
  <c r="H79" i="1"/>
  <c r="G79" i="1"/>
  <c r="F79" i="1"/>
  <c r="E79" i="1"/>
  <c r="D79" i="1"/>
  <c r="C79" i="1"/>
  <c r="M79" i="1" s="1"/>
  <c r="B79" i="1"/>
  <c r="M78" i="1"/>
  <c r="L78" i="1"/>
  <c r="K78" i="1"/>
  <c r="D78" i="1"/>
  <c r="E77" i="1"/>
  <c r="D77" i="1"/>
  <c r="M77" i="1" s="1"/>
  <c r="C77" i="1"/>
  <c r="L76" i="1"/>
  <c r="K76" i="1"/>
  <c r="J76" i="1"/>
  <c r="I76" i="1"/>
  <c r="H76" i="1"/>
  <c r="G76" i="1"/>
  <c r="F76" i="1"/>
  <c r="E76" i="1"/>
  <c r="E87" i="1" s="1"/>
  <c r="D76" i="1"/>
  <c r="C76" i="1"/>
  <c r="L75" i="1"/>
  <c r="J75" i="1"/>
  <c r="F75" i="1"/>
  <c r="E75" i="1"/>
  <c r="D75" i="1"/>
  <c r="M75" i="1" s="1"/>
  <c r="C75" i="1"/>
  <c r="L74" i="1"/>
  <c r="L87" i="1" s="1"/>
  <c r="K74" i="1"/>
  <c r="J74" i="1"/>
  <c r="J87" i="1" s="1"/>
  <c r="I74" i="1"/>
  <c r="I87" i="1" s="1"/>
  <c r="H74" i="1"/>
  <c r="H87" i="1" s="1"/>
  <c r="G74" i="1"/>
  <c r="G87" i="1" s="1"/>
  <c r="F74" i="1"/>
  <c r="F87" i="1" s="1"/>
  <c r="E74" i="1"/>
  <c r="M74" i="1" s="1"/>
  <c r="D74" i="1"/>
  <c r="D87" i="1" s="1"/>
  <c r="C74" i="1"/>
  <c r="B74" i="1"/>
  <c r="B87" i="1" s="1"/>
  <c r="M73" i="1"/>
  <c r="L72" i="1"/>
  <c r="F72" i="1"/>
  <c r="D72" i="1"/>
  <c r="B72" i="1"/>
  <c r="L71" i="1"/>
  <c r="K71" i="1"/>
  <c r="J71" i="1"/>
  <c r="J72" i="1" s="1"/>
  <c r="I71" i="1"/>
  <c r="H71" i="1"/>
  <c r="E71" i="1"/>
  <c r="D71" i="1"/>
  <c r="C71" i="1"/>
  <c r="B71" i="1"/>
  <c r="M71" i="1" s="1"/>
  <c r="K70" i="1"/>
  <c r="J70" i="1"/>
  <c r="I70" i="1"/>
  <c r="D70" i="1"/>
  <c r="M70" i="1" s="1"/>
  <c r="L69" i="1"/>
  <c r="K69" i="1"/>
  <c r="J69" i="1"/>
  <c r="I69" i="1"/>
  <c r="M69" i="1" s="1"/>
  <c r="D69" i="1"/>
  <c r="M68" i="1"/>
  <c r="G68" i="1"/>
  <c r="H67" i="1"/>
  <c r="G67" i="1"/>
  <c r="F67" i="1"/>
  <c r="E67" i="1"/>
  <c r="M67" i="1" s="1"/>
  <c r="I66" i="1"/>
  <c r="M66" i="1" s="1"/>
  <c r="C66" i="1"/>
  <c r="M65" i="1"/>
  <c r="B65" i="1"/>
  <c r="M64" i="1"/>
  <c r="C64" i="1"/>
  <c r="L63" i="1"/>
  <c r="K63" i="1"/>
  <c r="J63" i="1"/>
  <c r="I63" i="1"/>
  <c r="H63" i="1"/>
  <c r="F63" i="1"/>
  <c r="E63" i="1"/>
  <c r="C63" i="1"/>
  <c r="M63" i="1" s="1"/>
  <c r="B63" i="1"/>
  <c r="M62" i="1"/>
  <c r="H62" i="1"/>
  <c r="L61" i="1"/>
  <c r="K61" i="1"/>
  <c r="K72" i="1" s="1"/>
  <c r="J61" i="1"/>
  <c r="I61" i="1"/>
  <c r="I72" i="1" s="1"/>
  <c r="H61" i="1"/>
  <c r="H72" i="1" s="1"/>
  <c r="G61" i="1"/>
  <c r="G72" i="1" s="1"/>
  <c r="F61" i="1"/>
  <c r="E61" i="1"/>
  <c r="M61" i="1" s="1"/>
  <c r="D61" i="1"/>
  <c r="C61" i="1"/>
  <c r="C72" i="1" s="1"/>
  <c r="B61" i="1"/>
  <c r="M60" i="1"/>
  <c r="L59" i="1"/>
  <c r="J59" i="1"/>
  <c r="H59" i="1"/>
  <c r="F59" i="1"/>
  <c r="B59" i="1"/>
  <c r="L58" i="1"/>
  <c r="K58" i="1"/>
  <c r="J58" i="1"/>
  <c r="I58" i="1"/>
  <c r="G58" i="1"/>
  <c r="F58" i="1"/>
  <c r="E58" i="1"/>
  <c r="D58" i="1"/>
  <c r="C58" i="1"/>
  <c r="M58" i="1" s="1"/>
  <c r="B58" i="1"/>
  <c r="G57" i="1"/>
  <c r="D57" i="1"/>
  <c r="M57" i="1" s="1"/>
  <c r="B57" i="1"/>
  <c r="L56" i="1"/>
  <c r="K56" i="1"/>
  <c r="K59" i="1" s="1"/>
  <c r="J56" i="1"/>
  <c r="I56" i="1"/>
  <c r="I59" i="1" s="1"/>
  <c r="H56" i="1"/>
  <c r="G56" i="1"/>
  <c r="G59" i="1" s="1"/>
  <c r="F56" i="1"/>
  <c r="E56" i="1"/>
  <c r="M56" i="1" s="1"/>
  <c r="D56" i="1"/>
  <c r="C56" i="1"/>
  <c r="C59" i="1" s="1"/>
  <c r="B56" i="1"/>
  <c r="M55" i="1"/>
  <c r="E55" i="1"/>
  <c r="E59" i="1" s="1"/>
  <c r="M54" i="1"/>
  <c r="F54" i="1"/>
  <c r="M53" i="1"/>
  <c r="H52" i="1"/>
  <c r="F52" i="1"/>
  <c r="L51" i="1"/>
  <c r="L52" i="1" s="1"/>
  <c r="K51" i="1"/>
  <c r="K52" i="1" s="1"/>
  <c r="J51" i="1"/>
  <c r="J52" i="1" s="1"/>
  <c r="I51" i="1"/>
  <c r="I52" i="1" s="1"/>
  <c r="H51" i="1"/>
  <c r="G51" i="1"/>
  <c r="G52" i="1" s="1"/>
  <c r="F51" i="1"/>
  <c r="E51" i="1"/>
  <c r="E52" i="1" s="1"/>
  <c r="D51" i="1"/>
  <c r="D52" i="1" s="1"/>
  <c r="C51" i="1"/>
  <c r="C52" i="1" s="1"/>
  <c r="B51" i="1"/>
  <c r="B52" i="1" s="1"/>
  <c r="M50" i="1"/>
  <c r="L49" i="1"/>
  <c r="L130" i="1" s="1"/>
  <c r="K49" i="1"/>
  <c r="K130" i="1" s="1"/>
  <c r="J49" i="1"/>
  <c r="I49" i="1"/>
  <c r="G49" i="1"/>
  <c r="F49" i="1"/>
  <c r="E49" i="1"/>
  <c r="D49" i="1"/>
  <c r="C49" i="1"/>
  <c r="B49" i="1"/>
  <c r="M48" i="1"/>
  <c r="K48" i="1"/>
  <c r="M47" i="1"/>
  <c r="H47" i="1"/>
  <c r="H49" i="1" s="1"/>
  <c r="M46" i="1"/>
  <c r="L42" i="1"/>
  <c r="J42" i="1"/>
  <c r="I42" i="1"/>
  <c r="H42" i="1"/>
  <c r="F41" i="1"/>
  <c r="F42" i="1" s="1"/>
  <c r="E41" i="1"/>
  <c r="M41" i="1" s="1"/>
  <c r="K40" i="1"/>
  <c r="H40" i="1"/>
  <c r="E40" i="1"/>
  <c r="D40" i="1"/>
  <c r="D42" i="1" s="1"/>
  <c r="C40" i="1"/>
  <c r="B40" i="1"/>
  <c r="M40" i="1" s="1"/>
  <c r="L39" i="1"/>
  <c r="K39" i="1"/>
  <c r="G39" i="1"/>
  <c r="G42" i="1" s="1"/>
  <c r="D39" i="1"/>
  <c r="C39" i="1"/>
  <c r="M39" i="1" s="1"/>
  <c r="B39" i="1"/>
  <c r="M38" i="1"/>
  <c r="L38" i="1"/>
  <c r="K38" i="1"/>
  <c r="K42" i="1" s="1"/>
  <c r="E37" i="1"/>
  <c r="E42" i="1" s="1"/>
  <c r="D37" i="1"/>
  <c r="B37" i="1"/>
  <c r="M37" i="1" s="1"/>
  <c r="M36" i="1"/>
  <c r="L35" i="1"/>
  <c r="K35" i="1"/>
  <c r="I35" i="1"/>
  <c r="H35" i="1"/>
  <c r="G35" i="1"/>
  <c r="F35" i="1"/>
  <c r="E35" i="1"/>
  <c r="D35" i="1"/>
  <c r="C35" i="1"/>
  <c r="B35" i="1"/>
  <c r="J34" i="1"/>
  <c r="J35" i="1" s="1"/>
  <c r="G34" i="1"/>
  <c r="M34" i="1" s="1"/>
  <c r="M33" i="1"/>
  <c r="L32" i="1"/>
  <c r="I32" i="1"/>
  <c r="H32" i="1"/>
  <c r="G32" i="1"/>
  <c r="K31" i="1"/>
  <c r="J31" i="1"/>
  <c r="G31" i="1"/>
  <c r="F31" i="1"/>
  <c r="E31" i="1"/>
  <c r="D31" i="1"/>
  <c r="C31" i="1"/>
  <c r="B31" i="1"/>
  <c r="M31" i="1" s="1"/>
  <c r="K30" i="1"/>
  <c r="J30" i="1"/>
  <c r="G30" i="1"/>
  <c r="F30" i="1"/>
  <c r="E30" i="1"/>
  <c r="D30" i="1"/>
  <c r="C30" i="1"/>
  <c r="B30" i="1"/>
  <c r="M30" i="1" s="1"/>
  <c r="M29" i="1"/>
  <c r="L29" i="1"/>
  <c r="K29" i="1"/>
  <c r="J29" i="1"/>
  <c r="I29" i="1"/>
  <c r="H29" i="1"/>
  <c r="G29" i="1"/>
  <c r="F29" i="1"/>
  <c r="E29" i="1"/>
  <c r="E32" i="1" s="1"/>
  <c r="K28" i="1"/>
  <c r="J28" i="1"/>
  <c r="G28" i="1"/>
  <c r="F28" i="1"/>
  <c r="E28" i="1"/>
  <c r="D28" i="1"/>
  <c r="C28" i="1"/>
  <c r="C32" i="1" s="1"/>
  <c r="B28" i="1"/>
  <c r="M28" i="1" s="1"/>
  <c r="K27" i="1"/>
  <c r="K32" i="1" s="1"/>
  <c r="J27" i="1"/>
  <c r="J32" i="1" s="1"/>
  <c r="G27" i="1"/>
  <c r="F27" i="1"/>
  <c r="F32" i="1" s="1"/>
  <c r="E27" i="1"/>
  <c r="D27" i="1"/>
  <c r="D32" i="1" s="1"/>
  <c r="C27" i="1"/>
  <c r="B27" i="1"/>
  <c r="M27" i="1" s="1"/>
  <c r="M26" i="1"/>
  <c r="K25" i="1"/>
  <c r="I25" i="1"/>
  <c r="G25" i="1"/>
  <c r="C25" i="1"/>
  <c r="M24" i="1"/>
  <c r="J24" i="1"/>
  <c r="F24" i="1"/>
  <c r="L23" i="1"/>
  <c r="L25" i="1" s="1"/>
  <c r="K23" i="1"/>
  <c r="J23" i="1"/>
  <c r="J25" i="1" s="1"/>
  <c r="I23" i="1"/>
  <c r="H23" i="1"/>
  <c r="H25" i="1" s="1"/>
  <c r="G23" i="1"/>
  <c r="F23" i="1"/>
  <c r="F25" i="1" s="1"/>
  <c r="E23" i="1"/>
  <c r="E25" i="1" s="1"/>
  <c r="D23" i="1"/>
  <c r="D25" i="1" s="1"/>
  <c r="C23" i="1"/>
  <c r="B23" i="1"/>
  <c r="M23" i="1" s="1"/>
  <c r="M22" i="1"/>
  <c r="L21" i="1"/>
  <c r="K21" i="1"/>
  <c r="J21" i="1"/>
  <c r="H21" i="1"/>
  <c r="G21" i="1"/>
  <c r="E21" i="1"/>
  <c r="D21" i="1"/>
  <c r="C21" i="1"/>
  <c r="B21" i="1"/>
  <c r="J20" i="1"/>
  <c r="F20" i="1"/>
  <c r="F21" i="1" s="1"/>
  <c r="E20" i="1"/>
  <c r="M20" i="1" s="1"/>
  <c r="I19" i="1"/>
  <c r="M19" i="1" s="1"/>
  <c r="M18" i="1"/>
  <c r="L17" i="1"/>
  <c r="K17" i="1"/>
  <c r="J17" i="1"/>
  <c r="I17" i="1"/>
  <c r="H17" i="1"/>
  <c r="G17" i="1"/>
  <c r="F17" i="1"/>
  <c r="E17" i="1"/>
  <c r="D17" i="1"/>
  <c r="C17" i="1"/>
  <c r="B16" i="1"/>
  <c r="B17" i="1" s="1"/>
  <c r="M17" i="1" s="1"/>
  <c r="M15" i="1"/>
  <c r="L14" i="1"/>
  <c r="K14" i="1"/>
  <c r="I14" i="1"/>
  <c r="H14" i="1"/>
  <c r="G14" i="1"/>
  <c r="F14" i="1"/>
  <c r="E14" i="1"/>
  <c r="D14" i="1"/>
  <c r="B14" i="1"/>
  <c r="M13" i="1"/>
  <c r="E13" i="1"/>
  <c r="J12" i="1"/>
  <c r="J14" i="1" s="1"/>
  <c r="C12" i="1"/>
  <c r="C14" i="1" s="1"/>
  <c r="M14" i="1" s="1"/>
  <c r="M11" i="1"/>
  <c r="I10" i="1"/>
  <c r="H10" i="1"/>
  <c r="H43" i="1" s="1"/>
  <c r="H44" i="1" s="1"/>
  <c r="C10" i="1"/>
  <c r="B10" i="1"/>
  <c r="K9" i="1"/>
  <c r="M9" i="1" s="1"/>
  <c r="E9" i="1"/>
  <c r="E10" i="1" s="1"/>
  <c r="C9" i="1"/>
  <c r="L8" i="1"/>
  <c r="L10" i="1" s="1"/>
  <c r="L43" i="1" s="1"/>
  <c r="L44" i="1" s="1"/>
  <c r="K8" i="1"/>
  <c r="K10" i="1" s="1"/>
  <c r="J8" i="1"/>
  <c r="J10" i="1" s="1"/>
  <c r="J43" i="1" s="1"/>
  <c r="J44" i="1" s="1"/>
  <c r="H8" i="1"/>
  <c r="G8" i="1"/>
  <c r="G10" i="1" s="1"/>
  <c r="G43" i="1" s="1"/>
  <c r="G44" i="1" s="1"/>
  <c r="F8" i="1"/>
  <c r="F10" i="1" s="1"/>
  <c r="D8" i="1"/>
  <c r="D10" i="1" s="1"/>
  <c r="C8" i="1"/>
  <c r="M8" i="1" s="1"/>
  <c r="B8" i="1"/>
  <c r="M7" i="1"/>
  <c r="K43" i="1" l="1"/>
  <c r="K44" i="1" s="1"/>
  <c r="K131" i="1" s="1"/>
  <c r="K132" i="1" s="1"/>
  <c r="M35" i="1"/>
  <c r="M52" i="1"/>
  <c r="L131" i="1"/>
  <c r="L132" i="1" s="1"/>
  <c r="H130" i="1"/>
  <c r="M87" i="1"/>
  <c r="C43" i="1"/>
  <c r="C44" i="1" s="1"/>
  <c r="M21" i="1"/>
  <c r="G130" i="1"/>
  <c r="M59" i="1"/>
  <c r="G131" i="1"/>
  <c r="G132" i="1" s="1"/>
  <c r="H131" i="1"/>
  <c r="H132" i="1" s="1"/>
  <c r="D43" i="1"/>
  <c r="D44" i="1" s="1"/>
  <c r="E43" i="1"/>
  <c r="E44" i="1" s="1"/>
  <c r="I130" i="1"/>
  <c r="F130" i="1"/>
  <c r="F43" i="1"/>
  <c r="F44" i="1" s="1"/>
  <c r="J130" i="1"/>
  <c r="J131" i="1" s="1"/>
  <c r="J132" i="1" s="1"/>
  <c r="M12" i="1"/>
  <c r="B42" i="1"/>
  <c r="M42" i="1" s="1"/>
  <c r="D59" i="1"/>
  <c r="D130" i="1" s="1"/>
  <c r="M76" i="1"/>
  <c r="B129" i="1"/>
  <c r="M129" i="1" s="1"/>
  <c r="M16" i="1"/>
  <c r="B25" i="1"/>
  <c r="M25" i="1" s="1"/>
  <c r="C42" i="1"/>
  <c r="M51" i="1"/>
  <c r="E72" i="1"/>
  <c r="M72" i="1" s="1"/>
  <c r="M97" i="1"/>
  <c r="C110" i="1"/>
  <c r="C130" i="1" s="1"/>
  <c r="B32" i="1"/>
  <c r="M32" i="1" s="1"/>
  <c r="B94" i="1"/>
  <c r="M94" i="1" s="1"/>
  <c r="M10" i="1"/>
  <c r="I21" i="1"/>
  <c r="I43" i="1" s="1"/>
  <c r="I44" i="1" s="1"/>
  <c r="I131" i="1" s="1"/>
  <c r="I132" i="1" s="1"/>
  <c r="M49" i="1"/>
  <c r="B104" i="1"/>
  <c r="M104" i="1" s="1"/>
  <c r="B130" i="1" l="1"/>
  <c r="E130" i="1"/>
  <c r="E131" i="1" s="1"/>
  <c r="E132" i="1" s="1"/>
  <c r="C131" i="1"/>
  <c r="C132" i="1" s="1"/>
  <c r="M110" i="1"/>
  <c r="B43" i="1"/>
  <c r="D131" i="1"/>
  <c r="D132" i="1" s="1"/>
  <c r="F131" i="1"/>
  <c r="F132" i="1" s="1"/>
  <c r="M43" i="1" l="1"/>
  <c r="B44" i="1"/>
  <c r="M130" i="1"/>
  <c r="M44" i="1" l="1"/>
  <c r="B131" i="1"/>
  <c r="B132" i="1" l="1"/>
  <c r="M132" i="1" s="1"/>
  <c r="M131" i="1"/>
</calcChain>
</file>

<file path=xl/sharedStrings.xml><?xml version="1.0" encoding="utf-8"?>
<sst xmlns="http://schemas.openxmlformats.org/spreadsheetml/2006/main" count="143" uniqueCount="143">
  <si>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</si>
  <si>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</si>
  <si>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</si>
  <si>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</si>
  <si>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</si>
  <si>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</si>
  <si>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</si>
  <si>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</si>
  <si>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</si>
  <si>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</si>
  <si>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</si>
  <si>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Total</t>
  </si>
  <si>
    <t>Income</t>
  </si>
  <si>
    <t xml:space="preserve">   4000 Direct contributions</t>
  </si>
  <si>
    <t xml:space="preserve">      4010 Unsolicited contributions</t>
  </si>
  <si>
    <t xml:space="preserve">      4025 This Old House Capital Improvement</t>
  </si>
  <si>
    <t xml:space="preserve">   Total 4000 Direct contributions</t>
  </si>
  <si>
    <t xml:space="preserve">   4200 Non-government grants</t>
  </si>
  <si>
    <t xml:space="preserve">      4210 Corporate/business grants</t>
  </si>
  <si>
    <t xml:space="preserve">      4230 Foundation/trust grants</t>
  </si>
  <si>
    <t xml:space="preserve">   Total 4200 Non-government grants</t>
  </si>
  <si>
    <t xml:space="preserve">   4500 Government grants</t>
  </si>
  <si>
    <t xml:space="preserve">      4520 Federal grants</t>
  </si>
  <si>
    <t xml:space="preserve">   Total 4500 Government grants</t>
  </si>
  <si>
    <t xml:space="preserve">   5100 Program-related sales &amp; fees</t>
  </si>
  <si>
    <t xml:space="preserve">      5105 NERF Forum Educational</t>
  </si>
  <si>
    <t xml:space="preserve">      5110 Family Wildlife Day</t>
  </si>
  <si>
    <t xml:space="preserve">   Total 5100 Program-related sales &amp; fees</t>
  </si>
  <si>
    <t xml:space="preserve">   5200 Dues</t>
  </si>
  <si>
    <t xml:space="preserve">      5210 Membership dues-individuals</t>
  </si>
  <si>
    <t xml:space="preserve">      5220 Dues-Corporate Memberships</t>
  </si>
  <si>
    <t xml:space="preserve">   Total 5200 Dues</t>
  </si>
  <si>
    <t xml:space="preserve">   5300 Investment Income</t>
  </si>
  <si>
    <t xml:space="preserve">      5310 Interest-savings &amp; investments</t>
  </si>
  <si>
    <t xml:space="preserve">      5311 Interest -1083 EllisInvestment</t>
  </si>
  <si>
    <t xml:space="preserve">      5320 Dividends &amp; interest-securities</t>
  </si>
  <si>
    <t xml:space="preserve">      5360 Other investment income</t>
  </si>
  <si>
    <t xml:space="preserve">      5361 Other Investment 1083 Ellis</t>
  </si>
  <si>
    <t xml:space="preserve">   Total 5300 Investment Income</t>
  </si>
  <si>
    <t xml:space="preserve">   5400 Other sources</t>
  </si>
  <si>
    <t xml:space="preserve">      5450 Scholarship revenue</t>
  </si>
  <si>
    <t xml:space="preserve">   Total 5400 Other sources</t>
  </si>
  <si>
    <t xml:space="preserve">   5800 Events</t>
  </si>
  <si>
    <t xml:space="preserve">      5805 Events - Book Signing Event</t>
  </si>
  <si>
    <t xml:space="preserve">      5810 Events - Garden Tour</t>
  </si>
  <si>
    <t xml:space="preserve">      5820 Events - Art show/Concerts</t>
  </si>
  <si>
    <t xml:space="preserve">      5840 Events - CowBoy Julilee</t>
  </si>
  <si>
    <t xml:space="preserve">      5899 Event Other</t>
  </si>
  <si>
    <t xml:space="preserve">   Total 5800 Events</t>
  </si>
  <si>
    <t>Total Income</t>
  </si>
  <si>
    <t>Gross Profit</t>
  </si>
  <si>
    <t>Expenses</t>
  </si>
  <si>
    <t xml:space="preserve">   7000 Grants &amp; direct assistance</t>
  </si>
  <si>
    <t xml:space="preserve">      7040 Awards &amp; grants - individuals</t>
  </si>
  <si>
    <t xml:space="preserve">      7050 Scholarship - individual award</t>
  </si>
  <si>
    <t xml:space="preserve">   Total 7000 Grants &amp; direct assistance</t>
  </si>
  <si>
    <t xml:space="preserve">   7200 Salaries &amp; related expenses</t>
  </si>
  <si>
    <t xml:space="preserve">      7250 Payroll taxes, etc.</t>
  </si>
  <si>
    <t xml:space="preserve">   Total 7200 Salaries &amp; related expenses</t>
  </si>
  <si>
    <t xml:space="preserve">   7500 Contract service expenses</t>
  </si>
  <si>
    <t xml:space="preserve">      7520 Accounting fees</t>
  </si>
  <si>
    <t xml:space="preserve">      7525 Tax Preparation Fee</t>
  </si>
  <si>
    <t xml:space="preserve">      7526 Payroll Tax Preparation</t>
  </si>
  <si>
    <t xml:space="preserve">      7540 Professional fees - other</t>
  </si>
  <si>
    <t xml:space="preserve">      7550 Other Professional- contract</t>
  </si>
  <si>
    <t xml:space="preserve">   Total 7500 Contract service expenses</t>
  </si>
  <si>
    <t xml:space="preserve">   8000 Program related expenses</t>
  </si>
  <si>
    <t xml:space="preserve">      8005 Salaries&amp;Wages - Programs</t>
  </si>
  <si>
    <t xml:space="preserve">      8010 Transportation E/S M/S</t>
  </si>
  <si>
    <t xml:space="preserve">      8020 Climate Change (Habitat)</t>
  </si>
  <si>
    <t xml:space="preserve">      8030 Outreach</t>
  </si>
  <si>
    <t xml:space="preserve">      8035 Small Grants</t>
  </si>
  <si>
    <t xml:space="preserve">      8040 Trout in the classroom</t>
  </si>
  <si>
    <t xml:space="preserve">      8070 Family Wildlife Day</t>
  </si>
  <si>
    <t xml:space="preserve">      8075 Cooking Classes Expense</t>
  </si>
  <si>
    <t xml:space="preserve">      8077 NERF Forum</t>
  </si>
  <si>
    <t xml:space="preserve">      8079 Junior Ranger Program</t>
  </si>
  <si>
    <t xml:space="preserve">      8080 Other-Ambassadors</t>
  </si>
  <si>
    <t xml:space="preserve">   Total 8000 Program related expenses</t>
  </si>
  <si>
    <t xml:space="preserve">   8100 Program suppport  expenses</t>
  </si>
  <si>
    <t xml:space="preserve">      8105 Salaries&amp; Wages-Program Support</t>
  </si>
  <si>
    <t xml:space="preserve">      8110 Supplies</t>
  </si>
  <si>
    <t xml:space="preserve">      8120 Website services</t>
  </si>
  <si>
    <t xml:space="preserve">      8125 Annual Membership Mtg expense</t>
  </si>
  <si>
    <t xml:space="preserve">      8140 Postage &amp; shipping</t>
  </si>
  <si>
    <t xml:space="preserve">      8150 Social Media/Newsletters</t>
  </si>
  <si>
    <t xml:space="preserve">      8170 Printing &amp; copying</t>
  </si>
  <si>
    <t xml:space="preserve">      8171 Member education</t>
  </si>
  <si>
    <t xml:space="preserve">      8180 Volunteer education</t>
  </si>
  <si>
    <t xml:space="preserve">      8181 Donor education</t>
  </si>
  <si>
    <t xml:space="preserve">      8190 Exec. Dir. mileage expense</t>
  </si>
  <si>
    <t xml:space="preserve">      8191 Chamber of Commerce expense</t>
  </si>
  <si>
    <t xml:space="preserve">      8195 Other expense</t>
  </si>
  <si>
    <t xml:space="preserve">   Total 8100 Program suppport  expenses</t>
  </si>
  <si>
    <t xml:space="preserve">   8200 Administrative expenses</t>
  </si>
  <si>
    <t xml:space="preserve">      8205 Salaries&amp;Wages-Administration</t>
  </si>
  <si>
    <t xml:space="preserve">      8221 Utilities</t>
  </si>
  <si>
    <t xml:space="preserve">      8225 Telephone expense</t>
  </si>
  <si>
    <t xml:space="preserve">      8226 Postage expense</t>
  </si>
  <si>
    <t xml:space="preserve">      8260 Equipment rental &amp; maintenance</t>
  </si>
  <si>
    <t xml:space="preserve">   Total 8200 Administrative expenses</t>
  </si>
  <si>
    <t xml:space="preserve">   8500 Administrative Other expenses</t>
  </si>
  <si>
    <t xml:space="preserve">      8515 Insurance - General Liab &amp; D&amp;O</t>
  </si>
  <si>
    <t xml:space="preserve">      8520 Insurance - Workers Comp</t>
  </si>
  <si>
    <t xml:space="preserve">      8530 Membership - organization</t>
  </si>
  <si>
    <t xml:space="preserve">      8540 Strategic plan development</t>
  </si>
  <si>
    <t xml:space="preserve">      8560 Outside computer services</t>
  </si>
  <si>
    <t xml:space="preserve">      8565 Office supplies</t>
  </si>
  <si>
    <t xml:space="preserve">      8570 Advertising expenses</t>
  </si>
  <si>
    <t xml:space="preserve">      8590 Other expenses</t>
  </si>
  <si>
    <t xml:space="preserve">   Total 8500 Administrative Other expenses</t>
  </si>
  <si>
    <t xml:space="preserve">   8600 Administrative Bus    expenses</t>
  </si>
  <si>
    <t xml:space="preserve">      8610 Bank fee-credit card</t>
  </si>
  <si>
    <t xml:space="preserve">      8611 Service Fee-Investments</t>
  </si>
  <si>
    <t xml:space="preserve">      8612 Service Fee-Invest 1083 Ellis</t>
  </si>
  <si>
    <t xml:space="preserve">      8650 Taxes - other</t>
  </si>
  <si>
    <t xml:space="preserve">   Total 8600 Administrative Bus    expenses</t>
  </si>
  <si>
    <t xml:space="preserve">   8700 Fund Raising Event expenses</t>
  </si>
  <si>
    <t xml:space="preserve">      8705 Salaries &amp; Wages - Fund Raising</t>
  </si>
  <si>
    <t xml:space="preserve">      8710 Supplies expense</t>
  </si>
  <si>
    <t xml:space="preserve">      8720 Rental expense</t>
  </si>
  <si>
    <t xml:space="preserve">      8721 Concert transportation</t>
  </si>
  <si>
    <t xml:space="preserve">      8730 Food</t>
  </si>
  <si>
    <t xml:space="preserve">      8740 Drinks</t>
  </si>
  <si>
    <t xml:space="preserve">      8745 Marketing</t>
  </si>
  <si>
    <t xml:space="preserve">      8750 Printing</t>
  </si>
  <si>
    <t xml:space="preserve">      8755 Advertising</t>
  </si>
  <si>
    <t xml:space="preserve">      8760 Signage</t>
  </si>
  <si>
    <t xml:space="preserve">      8780 Entertainment</t>
  </si>
  <si>
    <t xml:space="preserve">      8784 Logistics</t>
  </si>
  <si>
    <t xml:space="preserve">      8785 Merchant Fees</t>
  </si>
  <si>
    <t xml:space="preserve">      8790 Other</t>
  </si>
  <si>
    <t xml:space="preserve">      8791 Other - Salaries &amp; Wages</t>
  </si>
  <si>
    <t xml:space="preserve">      8792 TOH - Pop up dinner/Kodi Concert</t>
  </si>
  <si>
    <t xml:space="preserve">      8799 Miscellaneous-In/Out</t>
  </si>
  <si>
    <t xml:space="preserve">   Total 8700 Fund Raising Event expenses</t>
  </si>
  <si>
    <t>Total Expenses</t>
  </si>
  <si>
    <t>Net Operating Income</t>
  </si>
  <si>
    <t>Net Income</t>
  </si>
  <si>
    <t>Monday, Jun 24, 2024 08:57:17 AM GMT-7 - Cash Basis</t>
  </si>
  <si>
    <t>Santa Rosa Plateau Foundation</t>
  </si>
  <si>
    <t>Profit and Loss by Month</t>
  </si>
  <si>
    <t>July 2023 -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</si>
</sst>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64" fontId="3" fillId="2" borderId="0" xfId="0" applyNumberFormat="1" applyFont="1" applyFill="1" applyAlignment="1">
      <alignment horizontal="right" wrapText="1"/>
    </xf>
    <xf numFmtId="164" fontId="3" fillId="3" borderId="0" xfId="0" applyNumberFormat="1" applyFont="1" applyFill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6"/>
  <sheetViews>
    <sheetView tabSelected="1" workbookViewId="0">
      <selection activeCell="Q22" sqref="Q22"/>
    </sheetView>
  </sheetViews>
  <sheetFormatPr defaultRowHeight="15" x14ac:dyDescent="0.25"/>
  <cols>
    <col min="1" max="1" width="39.5703125" customWidth="1"/>
    <col min="2" max="2" width="10.28515625" customWidth="1"/>
    <col min="3" max="4" width="11.140625" customWidth="1"/>
    <col min="5" max="7" width="9.42578125" customWidth="1"/>
    <col min="8" max="8" width="10.28515625" customWidth="1"/>
    <col min="9" max="9" width="11.140625" customWidth="1"/>
    <col min="10" max="10" width="9.42578125" customWidth="1"/>
    <col min="11" max="11" width="11.140625" customWidth="1"/>
    <col min="12" max="12" width="9.42578125" customWidth="1"/>
    <col min="13" max="13" width="10.28515625" customWidth="1"/>
  </cols>
  <sheetData>
    <row r="1" spans="1:13" ht="18" x14ac:dyDescent="0.25">
      <c r="A1" s="12" t="s">
        <v>140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8" x14ac:dyDescent="0.25">
      <c r="A2" s="12" t="s">
        <v>141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13" t="s">
        <v>142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x14ac:dyDescent="0.25">
      <c r="A5" s="1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</row>
    <row r="6" spans="1:13" x14ac:dyDescent="0.25">
      <c r="A6" s="3" t="s">
        <v>12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3" t="s">
        <v>13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>
        <f t="shared" ref="M7:M44" si="0">((((((((((B7)+(C7))+(D7))+(E7))+(F7))+(G7))+(H7))+(I7))+(J7))+(K7))+(L7)</f>
        <v>0</v>
      </c>
    </row>
    <row r="8" spans="1:13" x14ac:dyDescent="0.25">
      <c r="A8" s="3" t="s">
        <v>14</v>
      </c>
      <c r="B8" s="5">
        <f>3302.98</f>
        <v>3302.98</v>
      </c>
      <c r="C8" s="5">
        <f>350</f>
        <v>350</v>
      </c>
      <c r="D8" s="5">
        <f>1350</f>
        <v>1350</v>
      </c>
      <c r="E8" s="4"/>
      <c r="F8" s="5">
        <f>257.6</f>
        <v>257.60000000000002</v>
      </c>
      <c r="G8" s="5">
        <f>3749.24</f>
        <v>3749.24</v>
      </c>
      <c r="H8" s="5">
        <f>5183.36</f>
        <v>5183.3599999999997</v>
      </c>
      <c r="I8" s="4"/>
      <c r="J8" s="5">
        <f>6485</f>
        <v>6485</v>
      </c>
      <c r="K8" s="5">
        <f>260</f>
        <v>260</v>
      </c>
      <c r="L8" s="5">
        <f>5661.83</f>
        <v>5661.83</v>
      </c>
      <c r="M8" s="5">
        <f t="shared" si="0"/>
        <v>26600.010000000002</v>
      </c>
    </row>
    <row r="9" spans="1:13" x14ac:dyDescent="0.25">
      <c r="A9" s="3" t="s">
        <v>15</v>
      </c>
      <c r="B9" s="4"/>
      <c r="C9" s="5">
        <f>5120</f>
        <v>5120</v>
      </c>
      <c r="D9" s="4"/>
      <c r="E9" s="5">
        <f>1000</f>
        <v>1000</v>
      </c>
      <c r="F9" s="4"/>
      <c r="G9" s="4"/>
      <c r="H9" s="4"/>
      <c r="I9" s="4"/>
      <c r="J9" s="4"/>
      <c r="K9" s="5">
        <f>350</f>
        <v>350</v>
      </c>
      <c r="L9" s="4"/>
      <c r="M9" s="5">
        <f t="shared" si="0"/>
        <v>6470</v>
      </c>
    </row>
    <row r="10" spans="1:13" x14ac:dyDescent="0.25">
      <c r="A10" s="3" t="s">
        <v>16</v>
      </c>
      <c r="B10" s="6">
        <f t="shared" ref="B10:L10" si="1">((B7)+(B8))+(B9)</f>
        <v>3302.98</v>
      </c>
      <c r="C10" s="6">
        <f t="shared" si="1"/>
        <v>5470</v>
      </c>
      <c r="D10" s="6">
        <f t="shared" si="1"/>
        <v>1350</v>
      </c>
      <c r="E10" s="6">
        <f t="shared" si="1"/>
        <v>1000</v>
      </c>
      <c r="F10" s="6">
        <f t="shared" si="1"/>
        <v>257.60000000000002</v>
      </c>
      <c r="G10" s="6">
        <f t="shared" si="1"/>
        <v>3749.24</v>
      </c>
      <c r="H10" s="6">
        <f t="shared" si="1"/>
        <v>5183.3599999999997</v>
      </c>
      <c r="I10" s="6">
        <f t="shared" si="1"/>
        <v>0</v>
      </c>
      <c r="J10" s="6">
        <f t="shared" si="1"/>
        <v>6485</v>
      </c>
      <c r="K10" s="6">
        <f t="shared" si="1"/>
        <v>610</v>
      </c>
      <c r="L10" s="6">
        <f t="shared" si="1"/>
        <v>5661.83</v>
      </c>
      <c r="M10" s="6">
        <f t="shared" si="0"/>
        <v>33070.01</v>
      </c>
    </row>
    <row r="11" spans="1:13" x14ac:dyDescent="0.25">
      <c r="A11" s="3" t="s">
        <v>17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>
        <f t="shared" si="0"/>
        <v>0</v>
      </c>
    </row>
    <row r="12" spans="1:13" x14ac:dyDescent="0.25">
      <c r="A12" s="3" t="s">
        <v>18</v>
      </c>
      <c r="B12" s="4"/>
      <c r="C12" s="5">
        <f>5000</f>
        <v>5000</v>
      </c>
      <c r="D12" s="4"/>
      <c r="E12" s="4"/>
      <c r="F12" s="4"/>
      <c r="G12" s="4"/>
      <c r="H12" s="4"/>
      <c r="I12" s="4"/>
      <c r="J12" s="5">
        <f>2500</f>
        <v>2500</v>
      </c>
      <c r="K12" s="4"/>
      <c r="L12" s="4"/>
      <c r="M12" s="5">
        <f t="shared" si="0"/>
        <v>7500</v>
      </c>
    </row>
    <row r="13" spans="1:13" x14ac:dyDescent="0.25">
      <c r="A13" s="3" t="s">
        <v>19</v>
      </c>
      <c r="B13" s="4"/>
      <c r="C13" s="4"/>
      <c r="D13" s="4"/>
      <c r="E13" s="5">
        <f>15000</f>
        <v>15000</v>
      </c>
      <c r="F13" s="4"/>
      <c r="G13" s="4"/>
      <c r="H13" s="4"/>
      <c r="I13" s="4"/>
      <c r="J13" s="4"/>
      <c r="K13" s="4"/>
      <c r="L13" s="4"/>
      <c r="M13" s="5">
        <f t="shared" si="0"/>
        <v>15000</v>
      </c>
    </row>
    <row r="14" spans="1:13" x14ac:dyDescent="0.25">
      <c r="A14" s="3" t="s">
        <v>20</v>
      </c>
      <c r="B14" s="6">
        <f t="shared" ref="B14:L14" si="2">((B11)+(B12))+(B13)</f>
        <v>0</v>
      </c>
      <c r="C14" s="6">
        <f t="shared" si="2"/>
        <v>5000</v>
      </c>
      <c r="D14" s="6">
        <f t="shared" si="2"/>
        <v>0</v>
      </c>
      <c r="E14" s="6">
        <f t="shared" si="2"/>
        <v>15000</v>
      </c>
      <c r="F14" s="6">
        <f t="shared" si="2"/>
        <v>0</v>
      </c>
      <c r="G14" s="6">
        <f t="shared" si="2"/>
        <v>0</v>
      </c>
      <c r="H14" s="6">
        <f t="shared" si="2"/>
        <v>0</v>
      </c>
      <c r="I14" s="6">
        <f t="shared" si="2"/>
        <v>0</v>
      </c>
      <c r="J14" s="6">
        <f t="shared" si="2"/>
        <v>2500</v>
      </c>
      <c r="K14" s="6">
        <f t="shared" si="2"/>
        <v>0</v>
      </c>
      <c r="L14" s="6">
        <f t="shared" si="2"/>
        <v>0</v>
      </c>
      <c r="M14" s="6">
        <f t="shared" si="0"/>
        <v>22500</v>
      </c>
    </row>
    <row r="15" spans="1:13" x14ac:dyDescent="0.25">
      <c r="A15" s="3" t="s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>
        <f t="shared" si="0"/>
        <v>0</v>
      </c>
    </row>
    <row r="16" spans="1:13" x14ac:dyDescent="0.25">
      <c r="A16" s="3" t="s">
        <v>22</v>
      </c>
      <c r="B16" s="5">
        <f>65738.22</f>
        <v>65738.22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9">
        <f t="shared" si="0"/>
        <v>65738.22</v>
      </c>
    </row>
    <row r="17" spans="1:13" x14ac:dyDescent="0.25">
      <c r="A17" s="3" t="s">
        <v>23</v>
      </c>
      <c r="B17" s="6">
        <f t="shared" ref="B17:L17" si="3">(B15)+(B16)</f>
        <v>65738.22</v>
      </c>
      <c r="C17" s="6">
        <f t="shared" si="3"/>
        <v>0</v>
      </c>
      <c r="D17" s="6">
        <f t="shared" si="3"/>
        <v>0</v>
      </c>
      <c r="E17" s="6">
        <f t="shared" si="3"/>
        <v>0</v>
      </c>
      <c r="F17" s="6">
        <f t="shared" si="3"/>
        <v>0</v>
      </c>
      <c r="G17" s="6">
        <f t="shared" si="3"/>
        <v>0</v>
      </c>
      <c r="H17" s="6">
        <f t="shared" si="3"/>
        <v>0</v>
      </c>
      <c r="I17" s="6">
        <f t="shared" si="3"/>
        <v>0</v>
      </c>
      <c r="J17" s="6">
        <f t="shared" si="3"/>
        <v>0</v>
      </c>
      <c r="K17" s="6">
        <f t="shared" si="3"/>
        <v>0</v>
      </c>
      <c r="L17" s="6">
        <f t="shared" si="3"/>
        <v>0</v>
      </c>
      <c r="M17" s="6">
        <f t="shared" si="0"/>
        <v>65738.22</v>
      </c>
    </row>
    <row r="18" spans="1:13" x14ac:dyDescent="0.25">
      <c r="A18" s="3" t="s">
        <v>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>
        <f t="shared" si="0"/>
        <v>0</v>
      </c>
    </row>
    <row r="19" spans="1:13" x14ac:dyDescent="0.25">
      <c r="A19" s="3" t="s">
        <v>25</v>
      </c>
      <c r="B19" s="4"/>
      <c r="C19" s="4"/>
      <c r="D19" s="4"/>
      <c r="E19" s="4"/>
      <c r="F19" s="4"/>
      <c r="G19" s="4"/>
      <c r="H19" s="4"/>
      <c r="I19" s="5">
        <f>581.01</f>
        <v>581.01</v>
      </c>
      <c r="J19" s="4"/>
      <c r="K19" s="4"/>
      <c r="L19" s="4"/>
      <c r="M19" s="5">
        <f t="shared" si="0"/>
        <v>581.01</v>
      </c>
    </row>
    <row r="20" spans="1:13" x14ac:dyDescent="0.25">
      <c r="A20" s="3" t="s">
        <v>26</v>
      </c>
      <c r="B20" s="4"/>
      <c r="C20" s="4"/>
      <c r="D20" s="4"/>
      <c r="E20" s="5">
        <f>627.39</f>
        <v>627.39</v>
      </c>
      <c r="F20" s="5">
        <f>2098.61</f>
        <v>2098.61</v>
      </c>
      <c r="G20" s="4"/>
      <c r="H20" s="4"/>
      <c r="I20" s="4"/>
      <c r="J20" s="5">
        <f>548</f>
        <v>548</v>
      </c>
      <c r="K20" s="4"/>
      <c r="L20" s="4"/>
      <c r="M20" s="5">
        <f t="shared" si="0"/>
        <v>3274</v>
      </c>
    </row>
    <row r="21" spans="1:13" x14ac:dyDescent="0.25">
      <c r="A21" s="3" t="s">
        <v>27</v>
      </c>
      <c r="B21" s="6">
        <f t="shared" ref="B21:L21" si="4">((B18)+(B19))+(B20)</f>
        <v>0</v>
      </c>
      <c r="C21" s="6">
        <f t="shared" si="4"/>
        <v>0</v>
      </c>
      <c r="D21" s="6">
        <f t="shared" si="4"/>
        <v>0</v>
      </c>
      <c r="E21" s="6">
        <f t="shared" si="4"/>
        <v>627.39</v>
      </c>
      <c r="F21" s="6">
        <f t="shared" si="4"/>
        <v>2098.61</v>
      </c>
      <c r="G21" s="6">
        <f t="shared" si="4"/>
        <v>0</v>
      </c>
      <c r="H21" s="6">
        <f t="shared" si="4"/>
        <v>0</v>
      </c>
      <c r="I21" s="6">
        <f t="shared" si="4"/>
        <v>581.01</v>
      </c>
      <c r="J21" s="6">
        <f t="shared" si="4"/>
        <v>548</v>
      </c>
      <c r="K21" s="6">
        <f t="shared" si="4"/>
        <v>0</v>
      </c>
      <c r="L21" s="6">
        <f t="shared" si="4"/>
        <v>0</v>
      </c>
      <c r="M21" s="6">
        <f t="shared" si="0"/>
        <v>3855.01</v>
      </c>
    </row>
    <row r="22" spans="1:13" x14ac:dyDescent="0.25">
      <c r="A22" s="3" t="s">
        <v>28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>
        <f t="shared" si="0"/>
        <v>0</v>
      </c>
    </row>
    <row r="23" spans="1:13" x14ac:dyDescent="0.25">
      <c r="A23" s="3" t="s">
        <v>29</v>
      </c>
      <c r="B23" s="5">
        <f>4380</f>
        <v>4380</v>
      </c>
      <c r="C23" s="5">
        <f>1975</f>
        <v>1975</v>
      </c>
      <c r="D23" s="5">
        <f>3315</f>
        <v>3315</v>
      </c>
      <c r="E23" s="5">
        <f>3300</f>
        <v>3300</v>
      </c>
      <c r="F23" s="5">
        <f>3745</f>
        <v>3745</v>
      </c>
      <c r="G23" s="5">
        <f>6375</f>
        <v>6375</v>
      </c>
      <c r="H23" s="5">
        <f>6990</f>
        <v>6990</v>
      </c>
      <c r="I23" s="5">
        <f>3785</f>
        <v>3785</v>
      </c>
      <c r="J23" s="5">
        <f>5245</f>
        <v>5245</v>
      </c>
      <c r="K23" s="5">
        <f>5430</f>
        <v>5430</v>
      </c>
      <c r="L23" s="5">
        <f>3616.2</f>
        <v>3616.2</v>
      </c>
      <c r="M23" s="5">
        <f t="shared" si="0"/>
        <v>48156.2</v>
      </c>
    </row>
    <row r="24" spans="1:13" x14ac:dyDescent="0.25">
      <c r="A24" s="3" t="s">
        <v>30</v>
      </c>
      <c r="B24" s="4"/>
      <c r="C24" s="4"/>
      <c r="D24" s="4"/>
      <c r="E24" s="4"/>
      <c r="F24" s="5">
        <f>2000</f>
        <v>2000</v>
      </c>
      <c r="G24" s="4"/>
      <c r="H24" s="4"/>
      <c r="I24" s="4"/>
      <c r="J24" s="5">
        <f>1750</f>
        <v>1750</v>
      </c>
      <c r="K24" s="4"/>
      <c r="L24" s="4"/>
      <c r="M24" s="5">
        <f t="shared" si="0"/>
        <v>3750</v>
      </c>
    </row>
    <row r="25" spans="1:13" x14ac:dyDescent="0.25">
      <c r="A25" s="3" t="s">
        <v>31</v>
      </c>
      <c r="B25" s="6">
        <f t="shared" ref="B25:L25" si="5">((B22)+(B23))+(B24)</f>
        <v>4380</v>
      </c>
      <c r="C25" s="6">
        <f t="shared" si="5"/>
        <v>1975</v>
      </c>
      <c r="D25" s="6">
        <f t="shared" si="5"/>
        <v>3315</v>
      </c>
      <c r="E25" s="6">
        <f t="shared" si="5"/>
        <v>3300</v>
      </c>
      <c r="F25" s="6">
        <f t="shared" si="5"/>
        <v>5745</v>
      </c>
      <c r="G25" s="6">
        <f t="shared" si="5"/>
        <v>6375</v>
      </c>
      <c r="H25" s="6">
        <f t="shared" si="5"/>
        <v>6990</v>
      </c>
      <c r="I25" s="6">
        <f t="shared" si="5"/>
        <v>3785</v>
      </c>
      <c r="J25" s="6">
        <f t="shared" si="5"/>
        <v>6995</v>
      </c>
      <c r="K25" s="6">
        <f t="shared" si="5"/>
        <v>5430</v>
      </c>
      <c r="L25" s="6">
        <f t="shared" si="5"/>
        <v>3616.2</v>
      </c>
      <c r="M25" s="6">
        <f t="shared" si="0"/>
        <v>51906.2</v>
      </c>
    </row>
    <row r="26" spans="1:13" x14ac:dyDescent="0.25">
      <c r="A26" s="3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>
        <f t="shared" si="0"/>
        <v>0</v>
      </c>
    </row>
    <row r="27" spans="1:13" x14ac:dyDescent="0.25">
      <c r="A27" s="3" t="s">
        <v>33</v>
      </c>
      <c r="B27" s="5">
        <f>49.02</f>
        <v>49.02</v>
      </c>
      <c r="C27" s="5">
        <f>18.14</f>
        <v>18.14</v>
      </c>
      <c r="D27" s="5">
        <f>84.18</f>
        <v>84.18</v>
      </c>
      <c r="E27" s="5">
        <f>31.94</f>
        <v>31.94</v>
      </c>
      <c r="F27" s="5">
        <f>14.68</f>
        <v>14.68</v>
      </c>
      <c r="G27" s="5">
        <f>227.7</f>
        <v>227.7</v>
      </c>
      <c r="H27" s="4"/>
      <c r="I27" s="4"/>
      <c r="J27" s="5">
        <f>130.25</f>
        <v>130.25</v>
      </c>
      <c r="K27" s="5">
        <f>36.6</f>
        <v>36.6</v>
      </c>
      <c r="L27" s="4"/>
      <c r="M27" s="5">
        <f t="shared" si="0"/>
        <v>592.51</v>
      </c>
    </row>
    <row r="28" spans="1:13" x14ac:dyDescent="0.25">
      <c r="A28" s="3" t="s">
        <v>34</v>
      </c>
      <c r="B28" s="5">
        <f>604.47</f>
        <v>604.47</v>
      </c>
      <c r="C28" s="5">
        <f>264.11</f>
        <v>264.11</v>
      </c>
      <c r="D28" s="5">
        <f>1551.95</f>
        <v>1551.95</v>
      </c>
      <c r="E28" s="5">
        <f>609.7</f>
        <v>609.70000000000005</v>
      </c>
      <c r="F28" s="5">
        <f>280.07</f>
        <v>280.07</v>
      </c>
      <c r="G28" s="5">
        <f>4525.5</f>
        <v>4525.5</v>
      </c>
      <c r="H28" s="4"/>
      <c r="I28" s="4"/>
      <c r="J28" s="5">
        <f>2486.18</f>
        <v>2486.1799999999998</v>
      </c>
      <c r="K28" s="5">
        <f>698.46</f>
        <v>698.46</v>
      </c>
      <c r="L28" s="4"/>
      <c r="M28" s="8">
        <f t="shared" si="0"/>
        <v>11020.440000000002</v>
      </c>
    </row>
    <row r="29" spans="1:13" x14ac:dyDescent="0.25">
      <c r="A29" s="3" t="s">
        <v>35</v>
      </c>
      <c r="B29" s="4"/>
      <c r="C29" s="4"/>
      <c r="D29" s="4"/>
      <c r="E29" s="5">
        <f>2.48</f>
        <v>2.48</v>
      </c>
      <c r="F29" s="5">
        <f>1.33</f>
        <v>1.33</v>
      </c>
      <c r="G29" s="5">
        <f>3.35</f>
        <v>3.35</v>
      </c>
      <c r="H29" s="5">
        <f>4.28</f>
        <v>4.28</v>
      </c>
      <c r="I29" s="5">
        <f>3.47</f>
        <v>3.47</v>
      </c>
      <c r="J29" s="5">
        <f>2.87</f>
        <v>2.87</v>
      </c>
      <c r="K29" s="5">
        <f>2.48</f>
        <v>2.48</v>
      </c>
      <c r="L29" s="5">
        <f>2.32</f>
        <v>2.3199999999999998</v>
      </c>
      <c r="M29" s="5">
        <f t="shared" si="0"/>
        <v>22.580000000000002</v>
      </c>
    </row>
    <row r="30" spans="1:13" x14ac:dyDescent="0.25">
      <c r="A30" s="3" t="s">
        <v>36</v>
      </c>
      <c r="B30" s="5">
        <f>803.18</f>
        <v>803.18</v>
      </c>
      <c r="C30" s="5">
        <f>-592.32</f>
        <v>-592.32000000000005</v>
      </c>
      <c r="D30" s="5">
        <f>-1105.37</f>
        <v>-1105.3699999999999</v>
      </c>
      <c r="E30" s="5">
        <f>-686.27</f>
        <v>-686.27</v>
      </c>
      <c r="F30" s="5">
        <f>1935.84</f>
        <v>1935.84</v>
      </c>
      <c r="G30" s="5">
        <f>1112.99</f>
        <v>1112.99</v>
      </c>
      <c r="H30" s="4"/>
      <c r="I30" s="4"/>
      <c r="J30" s="5">
        <f>1344.18</f>
        <v>1344.18</v>
      </c>
      <c r="K30" s="5">
        <f>-975.29</f>
        <v>-975.29</v>
      </c>
      <c r="L30" s="4"/>
      <c r="M30" s="5">
        <f t="shared" si="0"/>
        <v>1836.94</v>
      </c>
    </row>
    <row r="31" spans="1:13" x14ac:dyDescent="0.25">
      <c r="A31" s="3" t="s">
        <v>37</v>
      </c>
      <c r="B31" s="5">
        <f>15327.63</f>
        <v>15327.63</v>
      </c>
      <c r="C31" s="5">
        <f>-11302.59</f>
        <v>-11302.59</v>
      </c>
      <c r="D31" s="5">
        <f>-21093.93</f>
        <v>-21093.93</v>
      </c>
      <c r="E31" s="5">
        <f>-13096.88</f>
        <v>-13096.88</v>
      </c>
      <c r="F31" s="5">
        <f>36942.68</f>
        <v>36942.68</v>
      </c>
      <c r="G31" s="5">
        <f>21239.43</f>
        <v>21239.43</v>
      </c>
      <c r="H31" s="4"/>
      <c r="I31" s="4"/>
      <c r="J31" s="5">
        <f>25651.32</f>
        <v>25651.32</v>
      </c>
      <c r="K31" s="5">
        <f>-18611.56</f>
        <v>-18611.560000000001</v>
      </c>
      <c r="L31" s="4"/>
      <c r="M31" s="8">
        <f t="shared" si="0"/>
        <v>35056.100000000006</v>
      </c>
    </row>
    <row r="32" spans="1:13" x14ac:dyDescent="0.25">
      <c r="A32" s="3" t="s">
        <v>38</v>
      </c>
      <c r="B32" s="6">
        <f t="shared" ref="B32:L32" si="6">(((((B26)+(B27))+(B28))+(B29))+(B30))+(B31)</f>
        <v>16784.3</v>
      </c>
      <c r="C32" s="6">
        <f t="shared" si="6"/>
        <v>-11612.66</v>
      </c>
      <c r="D32" s="6">
        <f t="shared" si="6"/>
        <v>-20563.169999999998</v>
      </c>
      <c r="E32" s="6">
        <f t="shared" si="6"/>
        <v>-13139.029999999999</v>
      </c>
      <c r="F32" s="6">
        <f t="shared" si="6"/>
        <v>39174.6</v>
      </c>
      <c r="G32" s="6">
        <f t="shared" si="6"/>
        <v>27108.97</v>
      </c>
      <c r="H32" s="6">
        <f t="shared" si="6"/>
        <v>4.28</v>
      </c>
      <c r="I32" s="6">
        <f t="shared" si="6"/>
        <v>3.47</v>
      </c>
      <c r="J32" s="6">
        <f t="shared" si="6"/>
        <v>29614.799999999999</v>
      </c>
      <c r="K32" s="6">
        <f t="shared" si="6"/>
        <v>-18849.310000000001</v>
      </c>
      <c r="L32" s="6">
        <f t="shared" si="6"/>
        <v>2.3199999999999998</v>
      </c>
      <c r="M32" s="6">
        <f t="shared" si="0"/>
        <v>48528.57</v>
      </c>
    </row>
    <row r="33" spans="1:13" x14ac:dyDescent="0.25">
      <c r="A33" s="3" t="s">
        <v>39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5">
        <f t="shared" si="0"/>
        <v>0</v>
      </c>
    </row>
    <row r="34" spans="1:13" x14ac:dyDescent="0.25">
      <c r="A34" s="3" t="s">
        <v>40</v>
      </c>
      <c r="B34" s="4"/>
      <c r="C34" s="4"/>
      <c r="D34" s="4"/>
      <c r="E34" s="4"/>
      <c r="F34" s="4"/>
      <c r="G34" s="5">
        <f>2100</f>
        <v>2100</v>
      </c>
      <c r="H34" s="4"/>
      <c r="I34" s="4"/>
      <c r="J34" s="5">
        <f>1000</f>
        <v>1000</v>
      </c>
      <c r="K34" s="4"/>
      <c r="L34" s="4"/>
      <c r="M34" s="5">
        <f t="shared" si="0"/>
        <v>3100</v>
      </c>
    </row>
    <row r="35" spans="1:13" x14ac:dyDescent="0.25">
      <c r="A35" s="3" t="s">
        <v>41</v>
      </c>
      <c r="B35" s="6">
        <f t="shared" ref="B35:L35" si="7">(B33)+(B34)</f>
        <v>0</v>
      </c>
      <c r="C35" s="6">
        <f t="shared" si="7"/>
        <v>0</v>
      </c>
      <c r="D35" s="6">
        <f t="shared" si="7"/>
        <v>0</v>
      </c>
      <c r="E35" s="6">
        <f t="shared" si="7"/>
        <v>0</v>
      </c>
      <c r="F35" s="6">
        <f t="shared" si="7"/>
        <v>0</v>
      </c>
      <c r="G35" s="6">
        <f t="shared" si="7"/>
        <v>2100</v>
      </c>
      <c r="H35" s="6">
        <f t="shared" si="7"/>
        <v>0</v>
      </c>
      <c r="I35" s="6">
        <f t="shared" si="7"/>
        <v>0</v>
      </c>
      <c r="J35" s="6">
        <f t="shared" si="7"/>
        <v>1000</v>
      </c>
      <c r="K35" s="6">
        <f t="shared" si="7"/>
        <v>0</v>
      </c>
      <c r="L35" s="6">
        <f t="shared" si="7"/>
        <v>0</v>
      </c>
      <c r="M35" s="6">
        <f t="shared" si="0"/>
        <v>3100</v>
      </c>
    </row>
    <row r="36" spans="1:13" x14ac:dyDescent="0.25">
      <c r="A36" s="3" t="s">
        <v>42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>
        <f t="shared" si="0"/>
        <v>0</v>
      </c>
    </row>
    <row r="37" spans="1:13" x14ac:dyDescent="0.25">
      <c r="A37" s="3" t="s">
        <v>43</v>
      </c>
      <c r="B37" s="5">
        <f>0.79</f>
        <v>0.79</v>
      </c>
      <c r="C37" s="4"/>
      <c r="D37" s="5">
        <f>1919.87</f>
        <v>1919.87</v>
      </c>
      <c r="E37" s="5">
        <f>2310.84</f>
        <v>2310.84</v>
      </c>
      <c r="F37" s="4"/>
      <c r="G37" s="4"/>
      <c r="H37" s="4"/>
      <c r="I37" s="4"/>
      <c r="J37" s="4"/>
      <c r="K37" s="4"/>
      <c r="L37" s="4"/>
      <c r="M37" s="5">
        <f t="shared" si="0"/>
        <v>4231.5</v>
      </c>
    </row>
    <row r="38" spans="1:13" x14ac:dyDescent="0.25">
      <c r="A38" s="3" t="s">
        <v>44</v>
      </c>
      <c r="B38" s="4"/>
      <c r="C38" s="4"/>
      <c r="D38" s="4"/>
      <c r="E38" s="4"/>
      <c r="F38" s="4"/>
      <c r="G38" s="4"/>
      <c r="H38" s="4"/>
      <c r="I38" s="4"/>
      <c r="J38" s="4"/>
      <c r="K38" s="5">
        <f>1494.01</f>
        <v>1494.01</v>
      </c>
      <c r="L38" s="5">
        <f>8504.01</f>
        <v>8504.01</v>
      </c>
      <c r="M38" s="5">
        <f t="shared" si="0"/>
        <v>9998.02</v>
      </c>
    </row>
    <row r="39" spans="1:13" x14ac:dyDescent="0.25">
      <c r="A39" s="3" t="s">
        <v>45</v>
      </c>
      <c r="B39" s="5">
        <f>53141.85</f>
        <v>53141.85</v>
      </c>
      <c r="C39" s="5">
        <f>26167.08</f>
        <v>26167.08</v>
      </c>
      <c r="D39" s="5">
        <f>6625</f>
        <v>6625</v>
      </c>
      <c r="E39" s="4"/>
      <c r="F39" s="4"/>
      <c r="G39" s="5">
        <f>2500</f>
        <v>2500</v>
      </c>
      <c r="H39" s="4"/>
      <c r="I39" s="4"/>
      <c r="J39" s="4"/>
      <c r="K39" s="5">
        <f>1250</f>
        <v>1250</v>
      </c>
      <c r="L39" s="5">
        <f>12177.2</f>
        <v>12177.2</v>
      </c>
      <c r="M39" s="5">
        <f t="shared" si="0"/>
        <v>101861.12999999999</v>
      </c>
    </row>
    <row r="40" spans="1:13" x14ac:dyDescent="0.25">
      <c r="A40" s="3" t="s">
        <v>46</v>
      </c>
      <c r="B40" s="5">
        <f>2174.18</f>
        <v>2174.1799999999998</v>
      </c>
      <c r="C40" s="5">
        <f>2773.43</f>
        <v>2773.43</v>
      </c>
      <c r="D40" s="5">
        <f>9351.1</f>
        <v>9351.1</v>
      </c>
      <c r="E40" s="5">
        <f>29597.79</f>
        <v>29597.79</v>
      </c>
      <c r="F40" s="4"/>
      <c r="G40" s="4"/>
      <c r="H40" s="5">
        <f>-135.59</f>
        <v>-135.59</v>
      </c>
      <c r="I40" s="4"/>
      <c r="J40" s="4"/>
      <c r="K40" s="5">
        <f>1000</f>
        <v>1000</v>
      </c>
      <c r="L40" s="4"/>
      <c r="M40" s="5">
        <f t="shared" si="0"/>
        <v>44760.91</v>
      </c>
    </row>
    <row r="41" spans="1:13" x14ac:dyDescent="0.25">
      <c r="A41" s="3" t="s">
        <v>47</v>
      </c>
      <c r="B41" s="4"/>
      <c r="C41" s="4"/>
      <c r="D41" s="4"/>
      <c r="E41" s="5">
        <f>272.32</f>
        <v>272.32</v>
      </c>
      <c r="F41" s="5">
        <f>1137.69</f>
        <v>1137.69</v>
      </c>
      <c r="G41" s="4"/>
      <c r="H41" s="4"/>
      <c r="I41" s="4"/>
      <c r="J41" s="4"/>
      <c r="K41" s="4"/>
      <c r="L41" s="4"/>
      <c r="M41" s="5">
        <f t="shared" si="0"/>
        <v>1410.01</v>
      </c>
    </row>
    <row r="42" spans="1:13" x14ac:dyDescent="0.25">
      <c r="A42" s="3" t="s">
        <v>48</v>
      </c>
      <c r="B42" s="6">
        <f t="shared" ref="B42:L42" si="8">(((((B36)+(B37))+(B38))+(B39))+(B40))+(B41)</f>
        <v>55316.82</v>
      </c>
      <c r="C42" s="6">
        <f t="shared" si="8"/>
        <v>28940.510000000002</v>
      </c>
      <c r="D42" s="6">
        <f t="shared" si="8"/>
        <v>17895.97</v>
      </c>
      <c r="E42" s="6">
        <f t="shared" si="8"/>
        <v>32180.95</v>
      </c>
      <c r="F42" s="6">
        <f t="shared" si="8"/>
        <v>1137.69</v>
      </c>
      <c r="G42" s="6">
        <f t="shared" si="8"/>
        <v>2500</v>
      </c>
      <c r="H42" s="6">
        <f t="shared" si="8"/>
        <v>-135.59</v>
      </c>
      <c r="I42" s="6">
        <f t="shared" si="8"/>
        <v>0</v>
      </c>
      <c r="J42" s="6">
        <f t="shared" si="8"/>
        <v>0</v>
      </c>
      <c r="K42" s="6">
        <f t="shared" si="8"/>
        <v>3744.01</v>
      </c>
      <c r="L42" s="6">
        <f t="shared" si="8"/>
        <v>20681.21</v>
      </c>
      <c r="M42" s="6">
        <f t="shared" si="0"/>
        <v>162261.57</v>
      </c>
    </row>
    <row r="43" spans="1:13" x14ac:dyDescent="0.25">
      <c r="A43" s="3" t="s">
        <v>49</v>
      </c>
      <c r="B43" s="6">
        <f t="shared" ref="B43:L43" si="9">(((((((B10)+(B14))+(B17))+(B21))+(B25))+(B32))+(B35))+(B42)</f>
        <v>145522.32</v>
      </c>
      <c r="C43" s="6">
        <f t="shared" si="9"/>
        <v>29772.850000000002</v>
      </c>
      <c r="D43" s="6">
        <f t="shared" si="9"/>
        <v>1997.8000000000029</v>
      </c>
      <c r="E43" s="6">
        <f t="shared" si="9"/>
        <v>38969.31</v>
      </c>
      <c r="F43" s="6">
        <f t="shared" si="9"/>
        <v>48413.5</v>
      </c>
      <c r="G43" s="6">
        <f t="shared" si="9"/>
        <v>41833.21</v>
      </c>
      <c r="H43" s="6">
        <f t="shared" si="9"/>
        <v>12042.050000000001</v>
      </c>
      <c r="I43" s="6">
        <f t="shared" si="9"/>
        <v>4369.4800000000005</v>
      </c>
      <c r="J43" s="6">
        <f t="shared" si="9"/>
        <v>47142.8</v>
      </c>
      <c r="K43" s="6">
        <f t="shared" si="9"/>
        <v>-9065.3000000000011</v>
      </c>
      <c r="L43" s="6">
        <f t="shared" si="9"/>
        <v>29961.559999999998</v>
      </c>
      <c r="M43" s="6">
        <f t="shared" si="0"/>
        <v>390959.58</v>
      </c>
    </row>
    <row r="44" spans="1:13" x14ac:dyDescent="0.25">
      <c r="A44" s="3" t="s">
        <v>50</v>
      </c>
      <c r="B44" s="6">
        <f t="shared" ref="B44:L44" si="10">(B43)-(0)</f>
        <v>145522.32</v>
      </c>
      <c r="C44" s="6">
        <f t="shared" si="10"/>
        <v>29772.850000000002</v>
      </c>
      <c r="D44" s="6">
        <f t="shared" si="10"/>
        <v>1997.8000000000029</v>
      </c>
      <c r="E44" s="6">
        <f t="shared" si="10"/>
        <v>38969.31</v>
      </c>
      <c r="F44" s="6">
        <f t="shared" si="10"/>
        <v>48413.5</v>
      </c>
      <c r="G44" s="6">
        <f t="shared" si="10"/>
        <v>41833.21</v>
      </c>
      <c r="H44" s="6">
        <f t="shared" si="10"/>
        <v>12042.050000000001</v>
      </c>
      <c r="I44" s="6">
        <f t="shared" si="10"/>
        <v>4369.4800000000005</v>
      </c>
      <c r="J44" s="6">
        <f t="shared" si="10"/>
        <v>47142.8</v>
      </c>
      <c r="K44" s="6">
        <f t="shared" si="10"/>
        <v>-9065.3000000000011</v>
      </c>
      <c r="L44" s="6">
        <f t="shared" si="10"/>
        <v>29961.559999999998</v>
      </c>
      <c r="M44" s="6">
        <f t="shared" si="0"/>
        <v>390959.58</v>
      </c>
    </row>
    <row r="45" spans="1:13" x14ac:dyDescent="0.25">
      <c r="A45" s="3" t="s">
        <v>51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3" t="s">
        <v>52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5">
        <f t="shared" ref="M46:M77" si="11">((((((((((B46)+(C46))+(D46))+(E46))+(F46))+(G46))+(H46))+(I46))+(J46))+(K46))+(L46)</f>
        <v>0</v>
      </c>
    </row>
    <row r="47" spans="1:13" x14ac:dyDescent="0.25">
      <c r="A47" s="3" t="s">
        <v>53</v>
      </c>
      <c r="B47" s="4"/>
      <c r="C47" s="4"/>
      <c r="D47" s="4"/>
      <c r="E47" s="4"/>
      <c r="F47" s="4"/>
      <c r="G47" s="4"/>
      <c r="H47" s="5">
        <f>99</f>
        <v>99</v>
      </c>
      <c r="I47" s="4"/>
      <c r="J47" s="4"/>
      <c r="K47" s="4"/>
      <c r="L47" s="4"/>
      <c r="M47" s="5">
        <f t="shared" si="11"/>
        <v>99</v>
      </c>
    </row>
    <row r="48" spans="1:13" x14ac:dyDescent="0.25">
      <c r="A48" s="3" t="s">
        <v>54</v>
      </c>
      <c r="B48" s="4"/>
      <c r="C48" s="4"/>
      <c r="D48" s="4"/>
      <c r="E48" s="4"/>
      <c r="F48" s="4"/>
      <c r="G48" s="4"/>
      <c r="H48" s="4"/>
      <c r="I48" s="4"/>
      <c r="J48" s="4"/>
      <c r="K48" s="5">
        <f>5000</f>
        <v>5000</v>
      </c>
      <c r="L48" s="4"/>
      <c r="M48" s="5">
        <f t="shared" si="11"/>
        <v>5000</v>
      </c>
    </row>
    <row r="49" spans="1:13" x14ac:dyDescent="0.25">
      <c r="A49" s="3" t="s">
        <v>55</v>
      </c>
      <c r="B49" s="6">
        <f t="shared" ref="B49:L49" si="12">((B46)+(B47))+(B48)</f>
        <v>0</v>
      </c>
      <c r="C49" s="6">
        <f t="shared" si="12"/>
        <v>0</v>
      </c>
      <c r="D49" s="6">
        <f t="shared" si="12"/>
        <v>0</v>
      </c>
      <c r="E49" s="6">
        <f t="shared" si="12"/>
        <v>0</v>
      </c>
      <c r="F49" s="6">
        <f t="shared" si="12"/>
        <v>0</v>
      </c>
      <c r="G49" s="6">
        <f t="shared" si="12"/>
        <v>0</v>
      </c>
      <c r="H49" s="6">
        <f t="shared" si="12"/>
        <v>99</v>
      </c>
      <c r="I49" s="6">
        <f t="shared" si="12"/>
        <v>0</v>
      </c>
      <c r="J49" s="6">
        <f t="shared" si="12"/>
        <v>0</v>
      </c>
      <c r="K49" s="6">
        <f t="shared" si="12"/>
        <v>5000</v>
      </c>
      <c r="L49" s="6">
        <f t="shared" si="12"/>
        <v>0</v>
      </c>
      <c r="M49" s="6">
        <f t="shared" si="11"/>
        <v>5099</v>
      </c>
    </row>
    <row r="50" spans="1:13" x14ac:dyDescent="0.25">
      <c r="A50" s="3" t="s">
        <v>56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5">
        <f t="shared" si="11"/>
        <v>0</v>
      </c>
    </row>
    <row r="51" spans="1:13" x14ac:dyDescent="0.25">
      <c r="A51" s="3" t="s">
        <v>57</v>
      </c>
      <c r="B51" s="5">
        <f>827.47</f>
        <v>827.47</v>
      </c>
      <c r="C51" s="5">
        <f>918.77</f>
        <v>918.77</v>
      </c>
      <c r="D51" s="5">
        <f>912.64</f>
        <v>912.64</v>
      </c>
      <c r="E51" s="5">
        <f>926.73</f>
        <v>926.73</v>
      </c>
      <c r="F51" s="5">
        <f>952.8</f>
        <v>952.8</v>
      </c>
      <c r="G51" s="5">
        <f>982.82</f>
        <v>982.82</v>
      </c>
      <c r="H51" s="5">
        <f>1044.59</f>
        <v>1044.5899999999999</v>
      </c>
      <c r="I51" s="5">
        <f>1024.55</f>
        <v>1024.55</v>
      </c>
      <c r="J51" s="5">
        <f>931.66</f>
        <v>931.66</v>
      </c>
      <c r="K51" s="5">
        <f>897.7</f>
        <v>897.7</v>
      </c>
      <c r="L51" s="5">
        <f>924.3</f>
        <v>924.3</v>
      </c>
      <c r="M51" s="5">
        <f t="shared" si="11"/>
        <v>10344.030000000001</v>
      </c>
    </row>
    <row r="52" spans="1:13" x14ac:dyDescent="0.25">
      <c r="A52" s="3" t="s">
        <v>58</v>
      </c>
      <c r="B52" s="6">
        <f t="shared" ref="B52:L52" si="13">(B50)+(B51)</f>
        <v>827.47</v>
      </c>
      <c r="C52" s="6">
        <f t="shared" si="13"/>
        <v>918.77</v>
      </c>
      <c r="D52" s="6">
        <f t="shared" si="13"/>
        <v>912.64</v>
      </c>
      <c r="E52" s="6">
        <f t="shared" si="13"/>
        <v>926.73</v>
      </c>
      <c r="F52" s="6">
        <f t="shared" si="13"/>
        <v>952.8</v>
      </c>
      <c r="G52" s="6">
        <f t="shared" si="13"/>
        <v>982.82</v>
      </c>
      <c r="H52" s="6">
        <f t="shared" si="13"/>
        <v>1044.5899999999999</v>
      </c>
      <c r="I52" s="6">
        <f t="shared" si="13"/>
        <v>1024.55</v>
      </c>
      <c r="J52" s="6">
        <f t="shared" si="13"/>
        <v>931.66</v>
      </c>
      <c r="K52" s="6">
        <f t="shared" si="13"/>
        <v>897.7</v>
      </c>
      <c r="L52" s="6">
        <f t="shared" si="13"/>
        <v>924.3</v>
      </c>
      <c r="M52" s="6">
        <f t="shared" si="11"/>
        <v>10344.030000000001</v>
      </c>
    </row>
    <row r="53" spans="1:13" x14ac:dyDescent="0.25">
      <c r="A53" s="3" t="s">
        <v>59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5">
        <f t="shared" si="11"/>
        <v>0</v>
      </c>
    </row>
    <row r="54" spans="1:13" x14ac:dyDescent="0.25">
      <c r="A54" s="3" t="s">
        <v>60</v>
      </c>
      <c r="B54" s="4"/>
      <c r="C54" s="4"/>
      <c r="D54" s="4"/>
      <c r="E54" s="4"/>
      <c r="F54" s="5">
        <f>700</f>
        <v>700</v>
      </c>
      <c r="G54" s="4"/>
      <c r="H54" s="4"/>
      <c r="I54" s="4"/>
      <c r="J54" s="4"/>
      <c r="K54" s="4"/>
      <c r="L54" s="4"/>
      <c r="M54" s="5">
        <f t="shared" si="11"/>
        <v>700</v>
      </c>
    </row>
    <row r="55" spans="1:13" x14ac:dyDescent="0.25">
      <c r="A55" s="3" t="s">
        <v>61</v>
      </c>
      <c r="B55" s="4"/>
      <c r="C55" s="4"/>
      <c r="D55" s="4"/>
      <c r="E55" s="5">
        <f>1650</f>
        <v>1650</v>
      </c>
      <c r="F55" s="4"/>
      <c r="G55" s="4"/>
      <c r="H55" s="4"/>
      <c r="I55" s="4"/>
      <c r="J55" s="4"/>
      <c r="K55" s="4"/>
      <c r="L55" s="4"/>
      <c r="M55" s="5">
        <f t="shared" si="11"/>
        <v>1650</v>
      </c>
    </row>
    <row r="56" spans="1:13" x14ac:dyDescent="0.25">
      <c r="A56" s="3" t="s">
        <v>62</v>
      </c>
      <c r="B56" s="5">
        <f>160</f>
        <v>160</v>
      </c>
      <c r="C56" s="5">
        <f>185</f>
        <v>185</v>
      </c>
      <c r="D56" s="5">
        <f>200</f>
        <v>200</v>
      </c>
      <c r="E56" s="5">
        <f>210</f>
        <v>210</v>
      </c>
      <c r="F56" s="5">
        <f>175</f>
        <v>175</v>
      </c>
      <c r="G56" s="5">
        <f>217</f>
        <v>217</v>
      </c>
      <c r="H56" s="5">
        <f>271</f>
        <v>271</v>
      </c>
      <c r="I56" s="5">
        <f>241.5</f>
        <v>241.5</v>
      </c>
      <c r="J56" s="5">
        <f>218</f>
        <v>218</v>
      </c>
      <c r="K56" s="5">
        <f>167</f>
        <v>167</v>
      </c>
      <c r="L56" s="5">
        <f>207</f>
        <v>207</v>
      </c>
      <c r="M56" s="5">
        <f t="shared" si="11"/>
        <v>2251.5</v>
      </c>
    </row>
    <row r="57" spans="1:13" x14ac:dyDescent="0.25">
      <c r="A57" s="3" t="s">
        <v>63</v>
      </c>
      <c r="B57" s="5">
        <f>208.07</f>
        <v>208.07</v>
      </c>
      <c r="C57" s="4"/>
      <c r="D57" s="5">
        <f>17176.45</f>
        <v>17176.45</v>
      </c>
      <c r="E57" s="4"/>
      <c r="F57" s="4"/>
      <c r="G57" s="5">
        <f>267.5</f>
        <v>267.5</v>
      </c>
      <c r="H57" s="4"/>
      <c r="I57" s="4"/>
      <c r="J57" s="4"/>
      <c r="K57" s="4"/>
      <c r="L57" s="4"/>
      <c r="M57" s="5">
        <f t="shared" si="11"/>
        <v>17652.02</v>
      </c>
    </row>
    <row r="58" spans="1:13" x14ac:dyDescent="0.25">
      <c r="A58" s="3" t="s">
        <v>64</v>
      </c>
      <c r="B58" s="5">
        <f>630</f>
        <v>630</v>
      </c>
      <c r="C58" s="5">
        <f>600</f>
        <v>600</v>
      </c>
      <c r="D58" s="5">
        <f>600</f>
        <v>600</v>
      </c>
      <c r="E58" s="5">
        <f>600</f>
        <v>600</v>
      </c>
      <c r="F58" s="5">
        <f>600</f>
        <v>600</v>
      </c>
      <c r="G58" s="5">
        <f>600</f>
        <v>600</v>
      </c>
      <c r="H58" s="4"/>
      <c r="I58" s="5">
        <f>1280</f>
        <v>1280</v>
      </c>
      <c r="J58" s="5">
        <f>1440</f>
        <v>1440</v>
      </c>
      <c r="K58" s="5">
        <f>40</f>
        <v>40</v>
      </c>
      <c r="L58" s="5">
        <f>600</f>
        <v>600</v>
      </c>
      <c r="M58" s="5">
        <f t="shared" si="11"/>
        <v>6990</v>
      </c>
    </row>
    <row r="59" spans="1:13" x14ac:dyDescent="0.25">
      <c r="A59" s="3" t="s">
        <v>65</v>
      </c>
      <c r="B59" s="6">
        <f t="shared" ref="B59:L59" si="14">(((((B53)+(B54))+(B55))+(B56))+(B57))+(B58)</f>
        <v>998.06999999999994</v>
      </c>
      <c r="C59" s="6">
        <f t="shared" si="14"/>
        <v>785</v>
      </c>
      <c r="D59" s="6">
        <f t="shared" si="14"/>
        <v>17976.45</v>
      </c>
      <c r="E59" s="6">
        <f t="shared" si="14"/>
        <v>2460</v>
      </c>
      <c r="F59" s="6">
        <f t="shared" si="14"/>
        <v>1475</v>
      </c>
      <c r="G59" s="6">
        <f t="shared" si="14"/>
        <v>1084.5</v>
      </c>
      <c r="H59" s="6">
        <f t="shared" si="14"/>
        <v>271</v>
      </c>
      <c r="I59" s="6">
        <f t="shared" si="14"/>
        <v>1521.5</v>
      </c>
      <c r="J59" s="6">
        <f t="shared" si="14"/>
        <v>1658</v>
      </c>
      <c r="K59" s="6">
        <f t="shared" si="14"/>
        <v>207</v>
      </c>
      <c r="L59" s="6">
        <f t="shared" si="14"/>
        <v>807</v>
      </c>
      <c r="M59" s="6">
        <f t="shared" si="11"/>
        <v>29243.52</v>
      </c>
    </row>
    <row r="60" spans="1:13" x14ac:dyDescent="0.25">
      <c r="A60" s="3" t="s">
        <v>66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5">
        <f t="shared" si="11"/>
        <v>0</v>
      </c>
    </row>
    <row r="61" spans="1:13" x14ac:dyDescent="0.25">
      <c r="A61" s="3" t="s">
        <v>67</v>
      </c>
      <c r="B61" s="5">
        <f>4195.37</f>
        <v>4195.37</v>
      </c>
      <c r="C61" s="5">
        <f>4515</f>
        <v>4515</v>
      </c>
      <c r="D61" s="5">
        <f>4515</f>
        <v>4515</v>
      </c>
      <c r="E61" s="5">
        <f>4515</f>
        <v>4515</v>
      </c>
      <c r="F61" s="5">
        <f>4515</f>
        <v>4515</v>
      </c>
      <c r="G61" s="5">
        <f>4515</f>
        <v>4515</v>
      </c>
      <c r="H61" s="5">
        <f>4622.5</f>
        <v>4622.5</v>
      </c>
      <c r="I61" s="5">
        <f>4770.14</f>
        <v>4770.1400000000003</v>
      </c>
      <c r="J61" s="5">
        <f>4770.14</f>
        <v>4770.1400000000003</v>
      </c>
      <c r="K61" s="5">
        <f>4770.14</f>
        <v>4770.1400000000003</v>
      </c>
      <c r="L61" s="5">
        <f>4770.14</f>
        <v>4770.1400000000003</v>
      </c>
      <c r="M61" s="5">
        <f t="shared" si="11"/>
        <v>50473.43</v>
      </c>
    </row>
    <row r="62" spans="1:13" x14ac:dyDescent="0.25">
      <c r="A62" s="3" t="s">
        <v>68</v>
      </c>
      <c r="B62" s="4"/>
      <c r="C62" s="4"/>
      <c r="D62" s="4"/>
      <c r="E62" s="4"/>
      <c r="F62" s="4"/>
      <c r="G62" s="4"/>
      <c r="H62" s="5">
        <f>419.16</f>
        <v>419.16</v>
      </c>
      <c r="I62" s="4"/>
      <c r="J62" s="4"/>
      <c r="K62" s="4"/>
      <c r="L62" s="4"/>
      <c r="M62" s="5">
        <f t="shared" si="11"/>
        <v>419.16</v>
      </c>
    </row>
    <row r="63" spans="1:13" x14ac:dyDescent="0.25">
      <c r="A63" s="3" t="s">
        <v>69</v>
      </c>
      <c r="B63" s="5">
        <f>3103</f>
        <v>3103</v>
      </c>
      <c r="C63" s="5">
        <f>1350</f>
        <v>1350</v>
      </c>
      <c r="D63" s="4"/>
      <c r="E63" s="5">
        <f>1147.57</f>
        <v>1147.57</v>
      </c>
      <c r="F63" s="5">
        <f>67.9</f>
        <v>67.900000000000006</v>
      </c>
      <c r="G63" s="4"/>
      <c r="H63" s="5">
        <f>820.3</f>
        <v>820.3</v>
      </c>
      <c r="I63" s="5">
        <f>562.5</f>
        <v>562.5</v>
      </c>
      <c r="J63" s="5">
        <f>736.88</f>
        <v>736.88</v>
      </c>
      <c r="K63" s="5">
        <f>3376.63</f>
        <v>3376.63</v>
      </c>
      <c r="L63" s="5">
        <f>3204.99</f>
        <v>3204.99</v>
      </c>
      <c r="M63" s="5">
        <f t="shared" si="11"/>
        <v>14369.769999999999</v>
      </c>
    </row>
    <row r="64" spans="1:13" x14ac:dyDescent="0.25">
      <c r="A64" s="3" t="s">
        <v>70</v>
      </c>
      <c r="B64" s="4"/>
      <c r="C64" s="5">
        <f>300</f>
        <v>300</v>
      </c>
      <c r="D64" s="4"/>
      <c r="E64" s="4"/>
      <c r="F64" s="4"/>
      <c r="G64" s="4"/>
      <c r="H64" s="4"/>
      <c r="I64" s="4"/>
      <c r="J64" s="4"/>
      <c r="K64" s="4"/>
      <c r="L64" s="4"/>
      <c r="M64" s="5">
        <f t="shared" si="11"/>
        <v>300</v>
      </c>
    </row>
    <row r="65" spans="1:13" x14ac:dyDescent="0.25">
      <c r="A65" s="3" t="s">
        <v>71</v>
      </c>
      <c r="B65" s="5">
        <f>6100</f>
        <v>6100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5">
        <f t="shared" si="11"/>
        <v>6100</v>
      </c>
    </row>
    <row r="66" spans="1:13" x14ac:dyDescent="0.25">
      <c r="A66" s="3" t="s">
        <v>72</v>
      </c>
      <c r="B66" s="4"/>
      <c r="C66" s="5">
        <f>28.26</f>
        <v>28.26</v>
      </c>
      <c r="D66" s="4"/>
      <c r="E66" s="4"/>
      <c r="F66" s="4"/>
      <c r="G66" s="4"/>
      <c r="H66" s="4"/>
      <c r="I66" s="5">
        <f>77.9</f>
        <v>77.900000000000006</v>
      </c>
      <c r="J66" s="4"/>
      <c r="K66" s="4"/>
      <c r="L66" s="4"/>
      <c r="M66" s="5">
        <f t="shared" si="11"/>
        <v>106.16000000000001</v>
      </c>
    </row>
    <row r="67" spans="1:13" x14ac:dyDescent="0.25">
      <c r="A67" s="3" t="s">
        <v>73</v>
      </c>
      <c r="B67" s="4"/>
      <c r="C67" s="4"/>
      <c r="D67" s="4"/>
      <c r="E67" s="5">
        <f>500</f>
        <v>500</v>
      </c>
      <c r="F67" s="5">
        <f>5351.76</f>
        <v>5351.76</v>
      </c>
      <c r="G67" s="5">
        <f>-586.56</f>
        <v>-586.55999999999995</v>
      </c>
      <c r="H67" s="5">
        <f>37.5</f>
        <v>37.5</v>
      </c>
      <c r="I67" s="4"/>
      <c r="J67" s="4"/>
      <c r="K67" s="4"/>
      <c r="L67" s="4"/>
      <c r="M67" s="5">
        <f t="shared" si="11"/>
        <v>5302.7000000000007</v>
      </c>
    </row>
    <row r="68" spans="1:13" x14ac:dyDescent="0.25">
      <c r="A68" s="3" t="s">
        <v>74</v>
      </c>
      <c r="B68" s="4"/>
      <c r="C68" s="4"/>
      <c r="D68" s="4"/>
      <c r="E68" s="4"/>
      <c r="F68" s="4"/>
      <c r="G68" s="5">
        <f>112</f>
        <v>112</v>
      </c>
      <c r="H68" s="4"/>
      <c r="I68" s="4"/>
      <c r="J68" s="4"/>
      <c r="K68" s="4"/>
      <c r="L68" s="4"/>
      <c r="M68" s="5">
        <f t="shared" si="11"/>
        <v>112</v>
      </c>
    </row>
    <row r="69" spans="1:13" x14ac:dyDescent="0.25">
      <c r="A69" s="3" t="s">
        <v>75</v>
      </c>
      <c r="B69" s="4"/>
      <c r="C69" s="4"/>
      <c r="D69" s="5">
        <f>3.34</f>
        <v>3.34</v>
      </c>
      <c r="E69" s="4"/>
      <c r="F69" s="4"/>
      <c r="G69" s="4"/>
      <c r="H69" s="4"/>
      <c r="I69" s="5">
        <f>162</f>
        <v>162</v>
      </c>
      <c r="J69" s="5">
        <f>233.35</f>
        <v>233.35</v>
      </c>
      <c r="K69" s="5">
        <f>1135.51</f>
        <v>1135.51</v>
      </c>
      <c r="L69" s="5">
        <f>149.62</f>
        <v>149.62</v>
      </c>
      <c r="M69" s="5">
        <f t="shared" si="11"/>
        <v>1683.8200000000002</v>
      </c>
    </row>
    <row r="70" spans="1:13" x14ac:dyDescent="0.25">
      <c r="A70" s="3" t="s">
        <v>76</v>
      </c>
      <c r="B70" s="4"/>
      <c r="C70" s="4"/>
      <c r="D70" s="5">
        <f>460.32</f>
        <v>460.32</v>
      </c>
      <c r="E70" s="4"/>
      <c r="F70" s="4"/>
      <c r="G70" s="4"/>
      <c r="H70" s="4"/>
      <c r="I70" s="5">
        <f>147.62</f>
        <v>147.62</v>
      </c>
      <c r="J70" s="5">
        <f>12</f>
        <v>12</v>
      </c>
      <c r="K70" s="5">
        <f>674.93</f>
        <v>674.93</v>
      </c>
      <c r="L70" s="4"/>
      <c r="M70" s="5">
        <f t="shared" si="11"/>
        <v>1294.8699999999999</v>
      </c>
    </row>
    <row r="71" spans="1:13" x14ac:dyDescent="0.25">
      <c r="A71" s="3" t="s">
        <v>77</v>
      </c>
      <c r="B71" s="5">
        <f>511.67</f>
        <v>511.67</v>
      </c>
      <c r="C71" s="5">
        <f>308.17</f>
        <v>308.17</v>
      </c>
      <c r="D71" s="5">
        <f>221.88</f>
        <v>221.88</v>
      </c>
      <c r="E71" s="5">
        <f>46.2</f>
        <v>46.2</v>
      </c>
      <c r="F71" s="4"/>
      <c r="G71" s="4"/>
      <c r="H71" s="5">
        <f>276.1</f>
        <v>276.10000000000002</v>
      </c>
      <c r="I71" s="5">
        <f>230</f>
        <v>230</v>
      </c>
      <c r="J71" s="5">
        <f>383.86</f>
        <v>383.86</v>
      </c>
      <c r="K71" s="5">
        <f>25</f>
        <v>25</v>
      </c>
      <c r="L71" s="5">
        <f>83.73</f>
        <v>83.73</v>
      </c>
      <c r="M71" s="5">
        <f t="shared" si="11"/>
        <v>2086.61</v>
      </c>
    </row>
    <row r="72" spans="1:13" x14ac:dyDescent="0.25">
      <c r="A72" s="3" t="s">
        <v>78</v>
      </c>
      <c r="B72" s="6">
        <f t="shared" ref="B72:L72" si="15">(((((((((((B60)+(B61))+(B62))+(B63))+(B64))+(B65))+(B66))+(B67))+(B68))+(B69))+(B70))+(B71)</f>
        <v>13910.039999999999</v>
      </c>
      <c r="C72" s="6">
        <f t="shared" si="15"/>
        <v>6501.43</v>
      </c>
      <c r="D72" s="6">
        <f t="shared" si="15"/>
        <v>5200.54</v>
      </c>
      <c r="E72" s="6">
        <f t="shared" si="15"/>
        <v>6208.7699999999995</v>
      </c>
      <c r="F72" s="6">
        <f t="shared" si="15"/>
        <v>9934.66</v>
      </c>
      <c r="G72" s="6">
        <f t="shared" si="15"/>
        <v>4040.44</v>
      </c>
      <c r="H72" s="6">
        <f t="shared" si="15"/>
        <v>6175.56</v>
      </c>
      <c r="I72" s="6">
        <f t="shared" si="15"/>
        <v>5950.16</v>
      </c>
      <c r="J72" s="6">
        <f t="shared" si="15"/>
        <v>6136.2300000000005</v>
      </c>
      <c r="K72" s="6">
        <f t="shared" si="15"/>
        <v>9982.2100000000009</v>
      </c>
      <c r="L72" s="6">
        <f t="shared" si="15"/>
        <v>8208.48</v>
      </c>
      <c r="M72" s="6">
        <f t="shared" si="11"/>
        <v>82248.52</v>
      </c>
    </row>
    <row r="73" spans="1:13" x14ac:dyDescent="0.25">
      <c r="A73" s="3" t="s">
        <v>79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5">
        <f t="shared" si="11"/>
        <v>0</v>
      </c>
    </row>
    <row r="74" spans="1:13" x14ac:dyDescent="0.25">
      <c r="A74" s="3" t="s">
        <v>80</v>
      </c>
      <c r="B74" s="5">
        <f>6938.19</f>
        <v>6938.19</v>
      </c>
      <c r="C74" s="5">
        <f>7183.63</f>
        <v>7183.63</v>
      </c>
      <c r="D74" s="5">
        <f>6592.13</f>
        <v>6592.13</v>
      </c>
      <c r="E74" s="5">
        <f>6722.13</f>
        <v>6722.13</v>
      </c>
      <c r="F74" s="5">
        <f>6994.05</f>
        <v>6994.05</v>
      </c>
      <c r="G74" s="5">
        <f>7536.12</f>
        <v>7536.12</v>
      </c>
      <c r="H74" s="5">
        <f>5678.78</f>
        <v>5678.78</v>
      </c>
      <c r="I74" s="5">
        <f>6135.06</f>
        <v>6135.06</v>
      </c>
      <c r="J74" s="5">
        <f>6070.5</f>
        <v>6070.5</v>
      </c>
      <c r="K74" s="5">
        <f>5875.75</f>
        <v>5875.75</v>
      </c>
      <c r="L74" s="5">
        <f>6433.38</f>
        <v>6433.38</v>
      </c>
      <c r="M74" s="5">
        <f t="shared" si="11"/>
        <v>72159.72</v>
      </c>
    </row>
    <row r="75" spans="1:13" x14ac:dyDescent="0.25">
      <c r="A75" s="3" t="s">
        <v>81</v>
      </c>
      <c r="B75" s="4"/>
      <c r="C75" s="5">
        <f>35.95</f>
        <v>35.950000000000003</v>
      </c>
      <c r="D75" s="5">
        <f>127.93</f>
        <v>127.93</v>
      </c>
      <c r="E75" s="5">
        <f>238.61</f>
        <v>238.61</v>
      </c>
      <c r="F75" s="5">
        <f>82.4</f>
        <v>82.4</v>
      </c>
      <c r="G75" s="4"/>
      <c r="H75" s="4"/>
      <c r="I75" s="4"/>
      <c r="J75" s="5">
        <f>35.06</f>
        <v>35.06</v>
      </c>
      <c r="K75" s="4"/>
      <c r="L75" s="5">
        <f>513.22</f>
        <v>513.22</v>
      </c>
      <c r="M75" s="5">
        <f t="shared" si="11"/>
        <v>1033.17</v>
      </c>
    </row>
    <row r="76" spans="1:13" x14ac:dyDescent="0.25">
      <c r="A76" s="3" t="s">
        <v>82</v>
      </c>
      <c r="B76" s="4"/>
      <c r="C76" s="5">
        <f>200</f>
        <v>200</v>
      </c>
      <c r="D76" s="5">
        <f>200.1</f>
        <v>200.1</v>
      </c>
      <c r="E76" s="5">
        <f>290</f>
        <v>290</v>
      </c>
      <c r="F76" s="5">
        <f>200</f>
        <v>200</v>
      </c>
      <c r="G76" s="5">
        <f>1200</f>
        <v>1200</v>
      </c>
      <c r="H76" s="5">
        <f>300</f>
        <v>300</v>
      </c>
      <c r="I76" s="5">
        <f>450</f>
        <v>450</v>
      </c>
      <c r="J76" s="5">
        <f>450</f>
        <v>450</v>
      </c>
      <c r="K76" s="5">
        <f>200</f>
        <v>200</v>
      </c>
      <c r="L76" s="5">
        <f>936.16</f>
        <v>936.16</v>
      </c>
      <c r="M76" s="5">
        <f t="shared" si="11"/>
        <v>4426.26</v>
      </c>
    </row>
    <row r="77" spans="1:13" x14ac:dyDescent="0.25">
      <c r="A77" s="3" t="s">
        <v>83</v>
      </c>
      <c r="B77" s="4"/>
      <c r="C77" s="5">
        <f>53.3</f>
        <v>53.3</v>
      </c>
      <c r="D77" s="5">
        <f>87.79</f>
        <v>87.79</v>
      </c>
      <c r="E77" s="5">
        <f>49.25</f>
        <v>49.25</v>
      </c>
      <c r="F77" s="4"/>
      <c r="G77" s="4"/>
      <c r="H77" s="4"/>
      <c r="I77" s="4"/>
      <c r="J77" s="4"/>
      <c r="K77" s="4"/>
      <c r="L77" s="4"/>
      <c r="M77" s="5">
        <f t="shared" si="11"/>
        <v>190.34</v>
      </c>
    </row>
    <row r="78" spans="1:13" x14ac:dyDescent="0.25">
      <c r="A78" s="3" t="s">
        <v>84</v>
      </c>
      <c r="B78" s="4"/>
      <c r="C78" s="4"/>
      <c r="D78" s="5">
        <f>19.8</f>
        <v>19.8</v>
      </c>
      <c r="E78" s="4"/>
      <c r="F78" s="4"/>
      <c r="G78" s="4"/>
      <c r="H78" s="4"/>
      <c r="I78" s="4"/>
      <c r="J78" s="4"/>
      <c r="K78" s="5">
        <f>80</f>
        <v>80</v>
      </c>
      <c r="L78" s="5">
        <f>250</f>
        <v>250</v>
      </c>
      <c r="M78" s="5">
        <f t="shared" ref="M78:M109" si="16">((((((((((B78)+(C78))+(D78))+(E78))+(F78))+(G78))+(H78))+(I78))+(J78))+(K78))+(L78)</f>
        <v>349.8</v>
      </c>
    </row>
    <row r="79" spans="1:13" x14ac:dyDescent="0.25">
      <c r="A79" s="3" t="s">
        <v>85</v>
      </c>
      <c r="B79" s="5">
        <f>300</f>
        <v>300</v>
      </c>
      <c r="C79" s="5">
        <f>300</f>
        <v>300</v>
      </c>
      <c r="D79" s="5">
        <f>300</f>
        <v>300</v>
      </c>
      <c r="E79" s="5">
        <f>300</f>
        <v>300</v>
      </c>
      <c r="F79" s="5">
        <f>300</f>
        <v>300</v>
      </c>
      <c r="G79" s="5">
        <f>300</f>
        <v>300</v>
      </c>
      <c r="H79" s="5">
        <f>600</f>
        <v>600</v>
      </c>
      <c r="I79" s="5">
        <f>300</f>
        <v>300</v>
      </c>
      <c r="J79" s="5">
        <f>300</f>
        <v>300</v>
      </c>
      <c r="K79" s="5">
        <f>315.99</f>
        <v>315.99</v>
      </c>
      <c r="L79" s="5">
        <f>315.99</f>
        <v>315.99</v>
      </c>
      <c r="M79" s="5">
        <f t="shared" si="16"/>
        <v>3631.9799999999996</v>
      </c>
    </row>
    <row r="80" spans="1:13" x14ac:dyDescent="0.25">
      <c r="A80" s="3" t="s">
        <v>86</v>
      </c>
      <c r="B80" s="4"/>
      <c r="C80" s="5">
        <f>259.9</f>
        <v>259.89999999999998</v>
      </c>
      <c r="D80" s="5">
        <f>82.5</f>
        <v>82.5</v>
      </c>
      <c r="E80" s="5">
        <f>432.08</f>
        <v>432.08</v>
      </c>
      <c r="F80" s="5">
        <f>580.39</f>
        <v>580.39</v>
      </c>
      <c r="G80" s="4"/>
      <c r="H80" s="5">
        <f>740</f>
        <v>740</v>
      </c>
      <c r="I80" s="5">
        <f>65.25</f>
        <v>65.25</v>
      </c>
      <c r="J80" s="5">
        <f>229.88</f>
        <v>229.88</v>
      </c>
      <c r="K80" s="4"/>
      <c r="L80" s="5">
        <f>375.75</f>
        <v>375.75</v>
      </c>
      <c r="M80" s="5">
        <f t="shared" si="16"/>
        <v>2765.75</v>
      </c>
    </row>
    <row r="81" spans="1:13" x14ac:dyDescent="0.25">
      <c r="A81" s="3" t="s">
        <v>87</v>
      </c>
      <c r="B81" s="5">
        <f>466.75</f>
        <v>466.75</v>
      </c>
      <c r="C81" s="5">
        <f>471</f>
        <v>471</v>
      </c>
      <c r="D81" s="5">
        <f>321</f>
        <v>321</v>
      </c>
      <c r="E81" s="5">
        <f>321</f>
        <v>321</v>
      </c>
      <c r="F81" s="5">
        <f>785</f>
        <v>785</v>
      </c>
      <c r="G81" s="5">
        <f>385</f>
        <v>385</v>
      </c>
      <c r="H81" s="5">
        <f>518.74</f>
        <v>518.74</v>
      </c>
      <c r="I81" s="5">
        <f>224.99</f>
        <v>224.99</v>
      </c>
      <c r="J81" s="5">
        <f>700.75</f>
        <v>700.75</v>
      </c>
      <c r="K81" s="5">
        <f>319.25</f>
        <v>319.25</v>
      </c>
      <c r="L81" s="5">
        <f>145</f>
        <v>145</v>
      </c>
      <c r="M81" s="5">
        <f t="shared" si="16"/>
        <v>4658.4799999999996</v>
      </c>
    </row>
    <row r="82" spans="1:13" x14ac:dyDescent="0.25">
      <c r="A82" s="3" t="s">
        <v>88</v>
      </c>
      <c r="B82" s="4"/>
      <c r="C82" s="5">
        <f>145.77</f>
        <v>145.77000000000001</v>
      </c>
      <c r="D82" s="4"/>
      <c r="E82" s="4"/>
      <c r="F82" s="5">
        <f>2495.04</f>
        <v>2495.04</v>
      </c>
      <c r="G82" s="5">
        <f>-2739.46</f>
        <v>-2739.46</v>
      </c>
      <c r="H82" s="5">
        <f>215.91</f>
        <v>215.91</v>
      </c>
      <c r="I82" s="5">
        <f>22.2</f>
        <v>22.2</v>
      </c>
      <c r="J82" s="4"/>
      <c r="K82" s="4"/>
      <c r="L82" s="5">
        <f>137.6</f>
        <v>137.6</v>
      </c>
      <c r="M82" s="5">
        <f t="shared" si="16"/>
        <v>277.05999999999989</v>
      </c>
    </row>
    <row r="83" spans="1:13" x14ac:dyDescent="0.25">
      <c r="A83" s="3" t="s">
        <v>89</v>
      </c>
      <c r="B83" s="5">
        <f>26.1</f>
        <v>26.1</v>
      </c>
      <c r="C83" s="4"/>
      <c r="D83" s="4"/>
      <c r="E83" s="4"/>
      <c r="F83" s="4"/>
      <c r="G83" s="4"/>
      <c r="H83" s="4"/>
      <c r="I83" s="4"/>
      <c r="J83" s="4"/>
      <c r="K83" s="4"/>
      <c r="L83" s="5">
        <f>350</f>
        <v>350</v>
      </c>
      <c r="M83" s="5">
        <f t="shared" si="16"/>
        <v>376.1</v>
      </c>
    </row>
    <row r="84" spans="1:13" x14ac:dyDescent="0.25">
      <c r="A84" s="3" t="s">
        <v>90</v>
      </c>
      <c r="B84" s="4"/>
      <c r="C84" s="5">
        <f>758.4</f>
        <v>758.4</v>
      </c>
      <c r="D84" s="4"/>
      <c r="E84" s="5">
        <f>200</f>
        <v>200</v>
      </c>
      <c r="F84" s="5">
        <f>200</f>
        <v>200</v>
      </c>
      <c r="G84" s="5">
        <f>200</f>
        <v>200</v>
      </c>
      <c r="H84" s="4"/>
      <c r="I84" s="4"/>
      <c r="J84" s="5">
        <f>200</f>
        <v>200</v>
      </c>
      <c r="K84" s="5">
        <f>200</f>
        <v>200</v>
      </c>
      <c r="L84" s="5">
        <f>400</f>
        <v>400</v>
      </c>
      <c r="M84" s="5">
        <f t="shared" si="16"/>
        <v>2158.4</v>
      </c>
    </row>
    <row r="85" spans="1:13" x14ac:dyDescent="0.25">
      <c r="A85" s="3" t="s">
        <v>91</v>
      </c>
      <c r="B85" s="4"/>
      <c r="C85" s="5">
        <f>355</f>
        <v>355</v>
      </c>
      <c r="D85" s="4"/>
      <c r="E85" s="4"/>
      <c r="F85" s="4"/>
      <c r="G85" s="5">
        <f>400</f>
        <v>400</v>
      </c>
      <c r="H85" s="4"/>
      <c r="I85" s="4"/>
      <c r="J85" s="4"/>
      <c r="K85" s="5">
        <f>375</f>
        <v>375</v>
      </c>
      <c r="L85" s="4"/>
      <c r="M85" s="5">
        <f t="shared" si="16"/>
        <v>1130</v>
      </c>
    </row>
    <row r="86" spans="1:13" x14ac:dyDescent="0.25">
      <c r="A86" s="3" t="s">
        <v>92</v>
      </c>
      <c r="B86" s="5">
        <f>317.81</f>
        <v>317.81</v>
      </c>
      <c r="C86" s="4"/>
      <c r="D86" s="4"/>
      <c r="E86" s="5">
        <f>250</f>
        <v>250</v>
      </c>
      <c r="F86" s="4"/>
      <c r="G86" s="4"/>
      <c r="H86" s="5">
        <f>290</f>
        <v>290</v>
      </c>
      <c r="I86" s="5">
        <f>200</f>
        <v>200</v>
      </c>
      <c r="J86" s="4"/>
      <c r="K86" s="5">
        <f>106.31</f>
        <v>106.31</v>
      </c>
      <c r="L86" s="5">
        <f>210</f>
        <v>210</v>
      </c>
      <c r="M86" s="5">
        <f t="shared" si="16"/>
        <v>1374.12</v>
      </c>
    </row>
    <row r="87" spans="1:13" x14ac:dyDescent="0.25">
      <c r="A87" s="3" t="s">
        <v>93</v>
      </c>
      <c r="B87" s="6">
        <f t="shared" ref="B87:L87" si="17">(((((((((((((B73)+(B74))+(B75))+(B76))+(B77))+(B78))+(B79))+(B80))+(B81))+(B82))+(B83))+(B84))+(B85))+(B86)</f>
        <v>8048.85</v>
      </c>
      <c r="C87" s="6">
        <f t="shared" si="17"/>
        <v>9762.9499999999989</v>
      </c>
      <c r="D87" s="6">
        <f t="shared" si="17"/>
        <v>7731.2500000000009</v>
      </c>
      <c r="E87" s="6">
        <f t="shared" si="17"/>
        <v>8803.07</v>
      </c>
      <c r="F87" s="6">
        <f t="shared" si="17"/>
        <v>11636.880000000001</v>
      </c>
      <c r="G87" s="6">
        <f t="shared" si="17"/>
        <v>7281.6599999999989</v>
      </c>
      <c r="H87" s="6">
        <f t="shared" si="17"/>
        <v>8343.43</v>
      </c>
      <c r="I87" s="6">
        <f t="shared" si="17"/>
        <v>7397.5</v>
      </c>
      <c r="J87" s="6">
        <f t="shared" si="17"/>
        <v>7986.1900000000005</v>
      </c>
      <c r="K87" s="6">
        <f t="shared" si="17"/>
        <v>7472.3</v>
      </c>
      <c r="L87" s="6">
        <f t="shared" si="17"/>
        <v>10067.1</v>
      </c>
      <c r="M87" s="6">
        <f t="shared" si="16"/>
        <v>94531.180000000008</v>
      </c>
    </row>
    <row r="88" spans="1:13" x14ac:dyDescent="0.25">
      <c r="A88" s="3" t="s">
        <v>94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5">
        <f t="shared" si="16"/>
        <v>0</v>
      </c>
    </row>
    <row r="89" spans="1:13" x14ac:dyDescent="0.25">
      <c r="A89" s="3" t="s">
        <v>95</v>
      </c>
      <c r="B89" s="5">
        <f>341.48</f>
        <v>341.48</v>
      </c>
      <c r="C89" s="5">
        <f>367.5</f>
        <v>367.5</v>
      </c>
      <c r="D89" s="5">
        <f>367.5</f>
        <v>367.5</v>
      </c>
      <c r="E89" s="5">
        <f>367.5</f>
        <v>367.5</v>
      </c>
      <c r="F89" s="5">
        <f>367.5</f>
        <v>367.5</v>
      </c>
      <c r="G89" s="5">
        <f>367.5</f>
        <v>367.5</v>
      </c>
      <c r="H89" s="5">
        <f>376.25</f>
        <v>376.25</v>
      </c>
      <c r="I89" s="5">
        <f>388.26</f>
        <v>388.26</v>
      </c>
      <c r="J89" s="5">
        <f>388.26</f>
        <v>388.26</v>
      </c>
      <c r="K89" s="5">
        <f>388.26</f>
        <v>388.26</v>
      </c>
      <c r="L89" s="5">
        <f>388.26</f>
        <v>388.26</v>
      </c>
      <c r="M89" s="5">
        <f t="shared" si="16"/>
        <v>4108.2700000000004</v>
      </c>
    </row>
    <row r="90" spans="1:13" x14ac:dyDescent="0.25">
      <c r="A90" s="3" t="s">
        <v>96</v>
      </c>
      <c r="B90" s="4"/>
      <c r="C90" s="5">
        <f>884.05</f>
        <v>884.05</v>
      </c>
      <c r="D90" s="5">
        <f>242.38</f>
        <v>242.38</v>
      </c>
      <c r="E90" s="5">
        <f>150</f>
        <v>150</v>
      </c>
      <c r="F90" s="5">
        <f>150</f>
        <v>150</v>
      </c>
      <c r="G90" s="4"/>
      <c r="H90" s="4"/>
      <c r="I90" s="5">
        <f>139.44</f>
        <v>139.44</v>
      </c>
      <c r="J90" s="5">
        <f>-1650</f>
        <v>-1650</v>
      </c>
      <c r="K90" s="5">
        <f>329.89</f>
        <v>329.89</v>
      </c>
      <c r="L90" s="5">
        <f>-34.09</f>
        <v>-34.090000000000003</v>
      </c>
      <c r="M90" s="5">
        <f t="shared" si="16"/>
        <v>211.66999999999987</v>
      </c>
    </row>
    <row r="91" spans="1:13" x14ac:dyDescent="0.25">
      <c r="A91" s="3" t="s">
        <v>97</v>
      </c>
      <c r="B91" s="5">
        <f>318.9</f>
        <v>318.89999999999998</v>
      </c>
      <c r="C91" s="5">
        <f>160.5</f>
        <v>160.5</v>
      </c>
      <c r="D91" s="5">
        <f>318.9</f>
        <v>318.89999999999998</v>
      </c>
      <c r="E91" s="5">
        <f>319.23</f>
        <v>319.23</v>
      </c>
      <c r="F91" s="5">
        <f>319.23</f>
        <v>319.23</v>
      </c>
      <c r="G91" s="5">
        <f>321.37</f>
        <v>321.37</v>
      </c>
      <c r="H91" s="5">
        <f>321.37</f>
        <v>321.37</v>
      </c>
      <c r="I91" s="5">
        <f>321.6</f>
        <v>321.60000000000002</v>
      </c>
      <c r="J91" s="5">
        <f>321.6</f>
        <v>321.60000000000002</v>
      </c>
      <c r="K91" s="5">
        <f>321.48</f>
        <v>321.48</v>
      </c>
      <c r="L91" s="5">
        <f>440.95</f>
        <v>440.95</v>
      </c>
      <c r="M91" s="5">
        <f t="shared" si="16"/>
        <v>3485.1299999999997</v>
      </c>
    </row>
    <row r="92" spans="1:13" x14ac:dyDescent="0.25">
      <c r="A92" s="3" t="s">
        <v>98</v>
      </c>
      <c r="B92" s="4"/>
      <c r="C92" s="4"/>
      <c r="D92" s="4"/>
      <c r="E92" s="4"/>
      <c r="F92" s="4"/>
      <c r="G92" s="4"/>
      <c r="H92" s="4"/>
      <c r="I92" s="4"/>
      <c r="J92" s="4"/>
      <c r="K92" s="5">
        <f>30.45</f>
        <v>30.45</v>
      </c>
      <c r="L92" s="4"/>
      <c r="M92" s="5">
        <f t="shared" si="16"/>
        <v>30.45</v>
      </c>
    </row>
    <row r="93" spans="1:13" x14ac:dyDescent="0.25">
      <c r="A93" s="3" t="s">
        <v>99</v>
      </c>
      <c r="B93" s="4"/>
      <c r="C93" s="4"/>
      <c r="D93" s="4"/>
      <c r="E93" s="5">
        <f>190</f>
        <v>190</v>
      </c>
      <c r="F93" s="5">
        <f>125.88</f>
        <v>125.88</v>
      </c>
      <c r="G93" s="4"/>
      <c r="H93" s="4"/>
      <c r="I93" s="4"/>
      <c r="J93" s="4"/>
      <c r="K93" s="4"/>
      <c r="L93" s="5">
        <f>79.95</f>
        <v>79.95</v>
      </c>
      <c r="M93" s="5">
        <f t="shared" si="16"/>
        <v>395.83</v>
      </c>
    </row>
    <row r="94" spans="1:13" x14ac:dyDescent="0.25">
      <c r="A94" s="3" t="s">
        <v>100</v>
      </c>
      <c r="B94" s="6">
        <f t="shared" ref="B94:L94" si="18">(((((B88)+(B89))+(B90))+(B91))+(B92))+(B93)</f>
        <v>660.38</v>
      </c>
      <c r="C94" s="6">
        <f t="shared" si="18"/>
        <v>1412.05</v>
      </c>
      <c r="D94" s="6">
        <f t="shared" si="18"/>
        <v>928.78</v>
      </c>
      <c r="E94" s="6">
        <f t="shared" si="18"/>
        <v>1026.73</v>
      </c>
      <c r="F94" s="6">
        <f t="shared" si="18"/>
        <v>962.61</v>
      </c>
      <c r="G94" s="6">
        <f t="shared" si="18"/>
        <v>688.87</v>
      </c>
      <c r="H94" s="6">
        <f t="shared" si="18"/>
        <v>697.62</v>
      </c>
      <c r="I94" s="6">
        <f t="shared" si="18"/>
        <v>849.30000000000007</v>
      </c>
      <c r="J94" s="6">
        <f t="shared" si="18"/>
        <v>-940.14</v>
      </c>
      <c r="K94" s="6">
        <f t="shared" si="18"/>
        <v>1070.0800000000002</v>
      </c>
      <c r="L94" s="6">
        <f t="shared" si="18"/>
        <v>875.06999999999994</v>
      </c>
      <c r="M94" s="6">
        <f t="shared" si="16"/>
        <v>8231.35</v>
      </c>
    </row>
    <row r="95" spans="1:13" x14ac:dyDescent="0.25">
      <c r="A95" s="3" t="s">
        <v>101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5">
        <f t="shared" si="16"/>
        <v>0</v>
      </c>
    </row>
    <row r="96" spans="1:13" x14ac:dyDescent="0.25">
      <c r="A96" s="3" t="s">
        <v>102</v>
      </c>
      <c r="B96" s="5">
        <f>185</f>
        <v>185</v>
      </c>
      <c r="C96" s="4"/>
      <c r="D96" s="5">
        <f>185</f>
        <v>185</v>
      </c>
      <c r="E96" s="4"/>
      <c r="F96" s="5">
        <f>185</f>
        <v>185</v>
      </c>
      <c r="G96" s="4"/>
      <c r="H96" s="4"/>
      <c r="I96" s="5">
        <f>-523</f>
        <v>-523</v>
      </c>
      <c r="J96" s="5">
        <f>768</f>
        <v>768</v>
      </c>
      <c r="K96" s="5">
        <f>967.73</f>
        <v>967.73</v>
      </c>
      <c r="L96" s="5">
        <f>-12</f>
        <v>-12</v>
      </c>
      <c r="M96" s="5">
        <f t="shared" si="16"/>
        <v>1755.73</v>
      </c>
    </row>
    <row r="97" spans="1:13" x14ac:dyDescent="0.25">
      <c r="A97" s="3" t="s">
        <v>103</v>
      </c>
      <c r="B97" s="4"/>
      <c r="C97" s="4"/>
      <c r="D97" s="4"/>
      <c r="E97" s="4"/>
      <c r="F97" s="4"/>
      <c r="G97" s="4"/>
      <c r="H97" s="5">
        <f>1940</f>
        <v>1940</v>
      </c>
      <c r="I97" s="4"/>
      <c r="J97" s="4"/>
      <c r="K97" s="4"/>
      <c r="L97" s="4"/>
      <c r="M97" s="5">
        <f t="shared" si="16"/>
        <v>1940</v>
      </c>
    </row>
    <row r="98" spans="1:13" x14ac:dyDescent="0.25">
      <c r="A98" s="3" t="s">
        <v>104</v>
      </c>
      <c r="B98" s="5">
        <f>400</f>
        <v>400</v>
      </c>
      <c r="C98" s="5">
        <f>180</f>
        <v>180</v>
      </c>
      <c r="D98" s="5">
        <f>180</f>
        <v>180</v>
      </c>
      <c r="E98" s="4"/>
      <c r="F98" s="4"/>
      <c r="G98" s="4"/>
      <c r="H98" s="4"/>
      <c r="I98" s="4"/>
      <c r="J98" s="4"/>
      <c r="K98" s="4"/>
      <c r="L98" s="4"/>
      <c r="M98" s="5">
        <f t="shared" si="16"/>
        <v>760</v>
      </c>
    </row>
    <row r="99" spans="1:13" x14ac:dyDescent="0.25">
      <c r="A99" s="3" t="s">
        <v>105</v>
      </c>
      <c r="B99" s="4"/>
      <c r="C99" s="4"/>
      <c r="D99" s="4"/>
      <c r="E99" s="4"/>
      <c r="F99" s="4"/>
      <c r="G99" s="4"/>
      <c r="H99" s="5">
        <f>147.45</f>
        <v>147.44999999999999</v>
      </c>
      <c r="I99" s="4"/>
      <c r="J99" s="4"/>
      <c r="K99" s="4"/>
      <c r="L99" s="4"/>
      <c r="M99" s="5">
        <f t="shared" si="16"/>
        <v>147.44999999999999</v>
      </c>
    </row>
    <row r="100" spans="1:13" x14ac:dyDescent="0.25">
      <c r="A100" s="3" t="s">
        <v>106</v>
      </c>
      <c r="B100" s="5">
        <f>230.98</f>
        <v>230.98</v>
      </c>
      <c r="C100" s="5">
        <f>230.98</f>
        <v>230.98</v>
      </c>
      <c r="D100" s="5">
        <f>235.98</f>
        <v>235.98</v>
      </c>
      <c r="E100" s="5">
        <f>623.96</f>
        <v>623.96</v>
      </c>
      <c r="F100" s="5">
        <f>335.97</f>
        <v>335.97</v>
      </c>
      <c r="G100" s="5">
        <f>-152</f>
        <v>-152</v>
      </c>
      <c r="H100" s="5">
        <f>315.98</f>
        <v>315.98</v>
      </c>
      <c r="I100" s="5">
        <f>851.67</f>
        <v>851.67</v>
      </c>
      <c r="J100" s="5">
        <f>848.06</f>
        <v>848.06</v>
      </c>
      <c r="K100" s="5">
        <f>1062.93</f>
        <v>1062.93</v>
      </c>
      <c r="L100" s="5">
        <f>200</f>
        <v>200</v>
      </c>
      <c r="M100" s="5">
        <f t="shared" si="16"/>
        <v>4784.51</v>
      </c>
    </row>
    <row r="101" spans="1:13" x14ac:dyDescent="0.25">
      <c r="A101" s="3" t="s">
        <v>107</v>
      </c>
      <c r="B101" s="5">
        <f>329.36</f>
        <v>329.36</v>
      </c>
      <c r="C101" s="5">
        <f>355</f>
        <v>355</v>
      </c>
      <c r="D101" s="4"/>
      <c r="E101" s="5">
        <f>247.55</f>
        <v>247.55</v>
      </c>
      <c r="F101" s="5">
        <f>148.98</f>
        <v>148.97999999999999</v>
      </c>
      <c r="G101" s="5">
        <f>63.91</f>
        <v>63.91</v>
      </c>
      <c r="H101" s="5">
        <f>387.16</f>
        <v>387.16</v>
      </c>
      <c r="I101" s="5">
        <f>221.02</f>
        <v>221.02</v>
      </c>
      <c r="J101" s="5">
        <f>245.52</f>
        <v>245.52</v>
      </c>
      <c r="K101" s="5">
        <f>442.89</f>
        <v>442.89</v>
      </c>
      <c r="L101" s="5">
        <f>246.32</f>
        <v>246.32</v>
      </c>
      <c r="M101" s="5">
        <f t="shared" si="16"/>
        <v>2687.7100000000005</v>
      </c>
    </row>
    <row r="102" spans="1:13" x14ac:dyDescent="0.25">
      <c r="A102" s="3" t="s">
        <v>108</v>
      </c>
      <c r="B102" s="4"/>
      <c r="C102" s="4"/>
      <c r="D102" s="5">
        <f>293.63</f>
        <v>293.63</v>
      </c>
      <c r="E102" s="4"/>
      <c r="F102" s="4"/>
      <c r="G102" s="4"/>
      <c r="H102" s="4"/>
      <c r="I102" s="4"/>
      <c r="J102" s="4"/>
      <c r="K102" s="4"/>
      <c r="L102" s="4"/>
      <c r="M102" s="5">
        <f t="shared" si="16"/>
        <v>293.63</v>
      </c>
    </row>
    <row r="103" spans="1:13" x14ac:dyDescent="0.25">
      <c r="A103" s="3" t="s">
        <v>109</v>
      </c>
      <c r="B103" s="5">
        <f>335.53</f>
        <v>335.53</v>
      </c>
      <c r="C103" s="5">
        <f>219</f>
        <v>219</v>
      </c>
      <c r="D103" s="5">
        <f>219.99</f>
        <v>219.99</v>
      </c>
      <c r="E103" s="5">
        <f>219.99</f>
        <v>219.99</v>
      </c>
      <c r="F103" s="5">
        <f>409.99</f>
        <v>409.99</v>
      </c>
      <c r="G103" s="5">
        <f>409.99</f>
        <v>409.99</v>
      </c>
      <c r="H103" s="5">
        <f>516.02</f>
        <v>516.02</v>
      </c>
      <c r="I103" s="5">
        <f>436.32</f>
        <v>436.32</v>
      </c>
      <c r="J103" s="5">
        <f>265</f>
        <v>265</v>
      </c>
      <c r="K103" s="5">
        <f>210</f>
        <v>210</v>
      </c>
      <c r="L103" s="4"/>
      <c r="M103" s="5">
        <f t="shared" si="16"/>
        <v>3241.8300000000004</v>
      </c>
    </row>
    <row r="104" spans="1:13" x14ac:dyDescent="0.25">
      <c r="A104" s="3" t="s">
        <v>110</v>
      </c>
      <c r="B104" s="6">
        <f t="shared" ref="B104:L104" si="19">((((((((B95)+(B96))+(B97))+(B98))+(B99))+(B100))+(B101))+(B102))+(B103)</f>
        <v>1480.8700000000001</v>
      </c>
      <c r="C104" s="6">
        <f t="shared" si="19"/>
        <v>984.98</v>
      </c>
      <c r="D104" s="6">
        <f t="shared" si="19"/>
        <v>1114.5999999999999</v>
      </c>
      <c r="E104" s="6">
        <f t="shared" si="19"/>
        <v>1091.5</v>
      </c>
      <c r="F104" s="6">
        <f t="shared" si="19"/>
        <v>1079.94</v>
      </c>
      <c r="G104" s="6">
        <f t="shared" si="19"/>
        <v>321.89999999999998</v>
      </c>
      <c r="H104" s="6">
        <f t="shared" si="19"/>
        <v>3306.6099999999997</v>
      </c>
      <c r="I104" s="6">
        <f t="shared" si="19"/>
        <v>986.01</v>
      </c>
      <c r="J104" s="6">
        <f t="shared" si="19"/>
        <v>2126.58</v>
      </c>
      <c r="K104" s="6">
        <f t="shared" si="19"/>
        <v>2683.55</v>
      </c>
      <c r="L104" s="6">
        <f t="shared" si="19"/>
        <v>434.32</v>
      </c>
      <c r="M104" s="6">
        <f t="shared" si="16"/>
        <v>15610.86</v>
      </c>
    </row>
    <row r="105" spans="1:13" x14ac:dyDescent="0.25">
      <c r="A105" s="3" t="s">
        <v>111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5">
        <f t="shared" si="16"/>
        <v>0</v>
      </c>
    </row>
    <row r="106" spans="1:13" x14ac:dyDescent="0.25">
      <c r="A106" s="3" t="s">
        <v>112</v>
      </c>
      <c r="B106" s="5">
        <f>393.34</f>
        <v>393.34</v>
      </c>
      <c r="C106" s="5">
        <f>809.75</f>
        <v>809.75</v>
      </c>
      <c r="D106" s="5">
        <f>217</f>
        <v>217</v>
      </c>
      <c r="E106" s="5">
        <f>122.18</f>
        <v>122.18</v>
      </c>
      <c r="F106" s="5">
        <f>831.42</f>
        <v>831.42</v>
      </c>
      <c r="G106" s="5">
        <f>180.58</f>
        <v>180.58</v>
      </c>
      <c r="H106" s="5">
        <f>195.97</f>
        <v>195.97</v>
      </c>
      <c r="I106" s="5">
        <f>220.37</f>
        <v>220.37</v>
      </c>
      <c r="J106" s="5">
        <f>126.74</f>
        <v>126.74</v>
      </c>
      <c r="K106" s="5">
        <f>181.52</f>
        <v>181.52</v>
      </c>
      <c r="L106" s="5">
        <f>187.3</f>
        <v>187.3</v>
      </c>
      <c r="M106" s="5">
        <f t="shared" si="16"/>
        <v>3466.1699999999996</v>
      </c>
    </row>
    <row r="107" spans="1:13" x14ac:dyDescent="0.25">
      <c r="A107" s="3" t="s">
        <v>113</v>
      </c>
      <c r="B107" s="5">
        <f>32.87</f>
        <v>32.869999999999997</v>
      </c>
      <c r="C107" s="5">
        <f>25.57</f>
        <v>25.57</v>
      </c>
      <c r="D107" s="5">
        <f>25.05</f>
        <v>25.05</v>
      </c>
      <c r="E107" s="5">
        <f>32.16</f>
        <v>32.159999999999997</v>
      </c>
      <c r="F107" s="5">
        <f>23.68</f>
        <v>23.68</v>
      </c>
      <c r="G107" s="5">
        <f>25.3</f>
        <v>25.3</v>
      </c>
      <c r="H107" s="4"/>
      <c r="I107" s="4"/>
      <c r="J107" s="5">
        <f>89.61</f>
        <v>89.61</v>
      </c>
      <c r="K107" s="5">
        <f>27.51</f>
        <v>27.51</v>
      </c>
      <c r="L107" s="4"/>
      <c r="M107" s="5">
        <f t="shared" si="16"/>
        <v>281.75</v>
      </c>
    </row>
    <row r="108" spans="1:13" x14ac:dyDescent="0.25">
      <c r="A108" s="3" t="s">
        <v>114</v>
      </c>
      <c r="B108" s="5">
        <f>627.23</f>
        <v>627.23</v>
      </c>
      <c r="C108" s="5">
        <f>487.99</f>
        <v>487.99</v>
      </c>
      <c r="D108" s="5">
        <f>477.99</f>
        <v>477.99</v>
      </c>
      <c r="E108" s="5">
        <f>613.64</f>
        <v>613.64</v>
      </c>
      <c r="F108" s="5">
        <f>451.98</f>
        <v>451.98</v>
      </c>
      <c r="G108" s="5">
        <f>482.6</f>
        <v>482.6</v>
      </c>
      <c r="H108" s="4"/>
      <c r="I108" s="4"/>
      <c r="J108" s="5">
        <f>1709.79</f>
        <v>1709.79</v>
      </c>
      <c r="K108" s="5">
        <f>524.88</f>
        <v>524.88</v>
      </c>
      <c r="L108" s="4"/>
      <c r="M108" s="8">
        <f t="shared" si="16"/>
        <v>5376.0999999999995</v>
      </c>
    </row>
    <row r="109" spans="1:13" x14ac:dyDescent="0.25">
      <c r="A109" s="3" t="s">
        <v>115</v>
      </c>
      <c r="B109" s="4"/>
      <c r="C109" s="4"/>
      <c r="D109" s="4"/>
      <c r="E109" s="4"/>
      <c r="F109" s="4"/>
      <c r="G109" s="5">
        <f>100</f>
        <v>100</v>
      </c>
      <c r="H109" s="4"/>
      <c r="I109" s="4"/>
      <c r="J109" s="4"/>
      <c r="K109" s="4"/>
      <c r="L109" s="4"/>
      <c r="M109" s="5">
        <f t="shared" si="16"/>
        <v>100</v>
      </c>
    </row>
    <row r="110" spans="1:13" x14ac:dyDescent="0.25">
      <c r="A110" s="3" t="s">
        <v>116</v>
      </c>
      <c r="B110" s="6">
        <f t="shared" ref="B110:L110" si="20">((((B105)+(B106))+(B107))+(B108))+(B109)</f>
        <v>1053.44</v>
      </c>
      <c r="C110" s="6">
        <f t="shared" si="20"/>
        <v>1323.31</v>
      </c>
      <c r="D110" s="6">
        <f t="shared" si="20"/>
        <v>720.04</v>
      </c>
      <c r="E110" s="6">
        <f t="shared" si="20"/>
        <v>767.98</v>
      </c>
      <c r="F110" s="6">
        <f t="shared" si="20"/>
        <v>1307.08</v>
      </c>
      <c r="G110" s="6">
        <f t="shared" si="20"/>
        <v>788.48</v>
      </c>
      <c r="H110" s="6">
        <f t="shared" si="20"/>
        <v>195.97</v>
      </c>
      <c r="I110" s="6">
        <f t="shared" si="20"/>
        <v>220.37</v>
      </c>
      <c r="J110" s="6">
        <f t="shared" si="20"/>
        <v>1926.1399999999999</v>
      </c>
      <c r="K110" s="6">
        <f t="shared" si="20"/>
        <v>733.91</v>
      </c>
      <c r="L110" s="6">
        <f t="shared" si="20"/>
        <v>187.3</v>
      </c>
      <c r="M110" s="6">
        <f t="shared" ref="M110:M132" si="21">((((((((((B110)+(C110))+(D110))+(E110))+(F110))+(G110))+(H110))+(I110))+(J110))+(K110))+(L110)</f>
        <v>9224.0199999999986</v>
      </c>
    </row>
    <row r="111" spans="1:13" x14ac:dyDescent="0.25">
      <c r="A111" s="3" t="s">
        <v>117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5">
        <f t="shared" si="21"/>
        <v>0</v>
      </c>
    </row>
    <row r="112" spans="1:13" x14ac:dyDescent="0.25">
      <c r="A112" s="3" t="s">
        <v>118</v>
      </c>
      <c r="B112" s="5">
        <f>341.49</f>
        <v>341.49</v>
      </c>
      <c r="C112" s="5">
        <f>367.5</f>
        <v>367.5</v>
      </c>
      <c r="D112" s="5">
        <f>367.5</f>
        <v>367.5</v>
      </c>
      <c r="E112" s="5">
        <f>367.5</f>
        <v>367.5</v>
      </c>
      <c r="F112" s="5">
        <f>367.5</f>
        <v>367.5</v>
      </c>
      <c r="G112" s="5">
        <f>367.5</f>
        <v>367.5</v>
      </c>
      <c r="H112" s="5">
        <f>376.25</f>
        <v>376.25</v>
      </c>
      <c r="I112" s="5">
        <f>388.28</f>
        <v>388.28</v>
      </c>
      <c r="J112" s="5">
        <f>388.28</f>
        <v>388.28</v>
      </c>
      <c r="K112" s="5">
        <f>388.28</f>
        <v>388.28</v>
      </c>
      <c r="L112" s="5">
        <f>388.28</f>
        <v>388.28</v>
      </c>
      <c r="M112" s="5">
        <f t="shared" si="21"/>
        <v>4108.3599999999988</v>
      </c>
    </row>
    <row r="113" spans="1:13" x14ac:dyDescent="0.25">
      <c r="A113" s="3" t="s">
        <v>119</v>
      </c>
      <c r="B113" s="5">
        <f>1241.6</f>
        <v>1241.5999999999999</v>
      </c>
      <c r="C113" s="5">
        <f>2022.72</f>
        <v>2022.72</v>
      </c>
      <c r="D113" s="5">
        <f>857.88</f>
        <v>857.88</v>
      </c>
      <c r="E113" s="5">
        <f>1218.83</f>
        <v>1218.83</v>
      </c>
      <c r="F113" s="4"/>
      <c r="G113" s="4"/>
      <c r="H113" s="4"/>
      <c r="I113" s="4"/>
      <c r="J113" s="4"/>
      <c r="K113" s="4"/>
      <c r="L113" s="4"/>
      <c r="M113" s="5">
        <f t="shared" si="21"/>
        <v>5341.03</v>
      </c>
    </row>
    <row r="114" spans="1:13" x14ac:dyDescent="0.25">
      <c r="A114" s="3" t="s">
        <v>120</v>
      </c>
      <c r="B114" s="5">
        <f>905.39</f>
        <v>905.39</v>
      </c>
      <c r="C114" s="5">
        <f>10864.36</f>
        <v>10864.36</v>
      </c>
      <c r="D114" s="5">
        <f>3233.21</f>
        <v>3233.21</v>
      </c>
      <c r="E114" s="5">
        <f>-489.8</f>
        <v>-489.8</v>
      </c>
      <c r="F114" s="5">
        <f>6311.91</f>
        <v>6311.91</v>
      </c>
      <c r="G114" s="4"/>
      <c r="H114" s="4"/>
      <c r="I114" s="5">
        <f>541.88</f>
        <v>541.88</v>
      </c>
      <c r="J114" s="4"/>
      <c r="K114" s="4"/>
      <c r="L114" s="5">
        <f>433.38</f>
        <v>433.38</v>
      </c>
      <c r="M114" s="5">
        <f t="shared" si="21"/>
        <v>21800.33</v>
      </c>
    </row>
    <row r="115" spans="1:13" x14ac:dyDescent="0.25">
      <c r="A115" s="3" t="s">
        <v>121</v>
      </c>
      <c r="B115" s="5">
        <f>6600</f>
        <v>6600</v>
      </c>
      <c r="C115" s="5">
        <f>1100</f>
        <v>1100</v>
      </c>
      <c r="D115" s="4"/>
      <c r="E115" s="4"/>
      <c r="F115" s="4"/>
      <c r="G115" s="4"/>
      <c r="H115" s="4"/>
      <c r="I115" s="4"/>
      <c r="J115" s="4"/>
      <c r="K115" s="4"/>
      <c r="L115" s="4"/>
      <c r="M115" s="5">
        <f t="shared" si="21"/>
        <v>7700</v>
      </c>
    </row>
    <row r="116" spans="1:13" x14ac:dyDescent="0.25">
      <c r="A116" s="3" t="s">
        <v>122</v>
      </c>
      <c r="B116" s="5">
        <f>4854.44</f>
        <v>4854.4399999999996</v>
      </c>
      <c r="C116" s="5">
        <f>831.13</f>
        <v>831.13</v>
      </c>
      <c r="D116" s="5">
        <f>7535.1</f>
        <v>7535.1</v>
      </c>
      <c r="E116" s="5">
        <f>176.8</f>
        <v>176.8</v>
      </c>
      <c r="F116" s="5">
        <f>1458.14</f>
        <v>1458.14</v>
      </c>
      <c r="G116" s="4"/>
      <c r="H116" s="4"/>
      <c r="I116" s="4"/>
      <c r="J116" s="4"/>
      <c r="K116" s="4"/>
      <c r="L116" s="5">
        <f>112.34</f>
        <v>112.34</v>
      </c>
      <c r="M116" s="5">
        <f t="shared" si="21"/>
        <v>14967.949999999999</v>
      </c>
    </row>
    <row r="117" spans="1:13" x14ac:dyDescent="0.25">
      <c r="A117" s="3" t="s">
        <v>123</v>
      </c>
      <c r="B117" s="4"/>
      <c r="C117" s="4"/>
      <c r="D117" s="5">
        <f>780.23</f>
        <v>780.23</v>
      </c>
      <c r="E117" s="5">
        <f>278.86</f>
        <v>278.86</v>
      </c>
      <c r="F117" s="4"/>
      <c r="G117" s="4"/>
      <c r="H117" s="4"/>
      <c r="I117" s="4"/>
      <c r="J117" s="4"/>
      <c r="K117" s="4"/>
      <c r="L117" s="4"/>
      <c r="M117" s="5">
        <f t="shared" si="21"/>
        <v>1059.0900000000001</v>
      </c>
    </row>
    <row r="118" spans="1:13" x14ac:dyDescent="0.25">
      <c r="A118" s="3" t="s">
        <v>124</v>
      </c>
      <c r="B118" s="5">
        <f>317.99</f>
        <v>317.99</v>
      </c>
      <c r="C118" s="5">
        <f>48</f>
        <v>48</v>
      </c>
      <c r="D118" s="4"/>
      <c r="E118" s="5">
        <f>200</f>
        <v>200</v>
      </c>
      <c r="F118" s="4"/>
      <c r="G118" s="4"/>
      <c r="H118" s="4"/>
      <c r="I118" s="4"/>
      <c r="J118" s="4"/>
      <c r="K118" s="4"/>
      <c r="L118" s="5">
        <f>24.34</f>
        <v>24.34</v>
      </c>
      <c r="M118" s="5">
        <f t="shared" si="21"/>
        <v>590.33000000000004</v>
      </c>
    </row>
    <row r="119" spans="1:13" x14ac:dyDescent="0.25">
      <c r="A119" s="3" t="s">
        <v>125</v>
      </c>
      <c r="B119" s="4"/>
      <c r="C119" s="5">
        <f>443</f>
        <v>443</v>
      </c>
      <c r="D119" s="4"/>
      <c r="E119" s="4"/>
      <c r="F119" s="4"/>
      <c r="G119" s="4"/>
      <c r="H119" s="4"/>
      <c r="I119" s="5">
        <f>743.85</f>
        <v>743.85</v>
      </c>
      <c r="J119" s="5">
        <f>27.5</f>
        <v>27.5</v>
      </c>
      <c r="K119" s="5">
        <f>264.76</f>
        <v>264.76</v>
      </c>
      <c r="L119" s="5">
        <f>251.23</f>
        <v>251.23</v>
      </c>
      <c r="M119" s="5">
        <f t="shared" si="21"/>
        <v>1730.34</v>
      </c>
    </row>
    <row r="120" spans="1:13" x14ac:dyDescent="0.25">
      <c r="A120" s="3" t="s">
        <v>126</v>
      </c>
      <c r="B120" s="4"/>
      <c r="C120" s="5">
        <f>800</f>
        <v>800</v>
      </c>
      <c r="D120" s="4"/>
      <c r="E120" s="4"/>
      <c r="F120" s="5">
        <f>400</f>
        <v>400</v>
      </c>
      <c r="G120" s="4"/>
      <c r="H120" s="4"/>
      <c r="I120" s="4"/>
      <c r="J120" s="4"/>
      <c r="K120" s="5">
        <f>481.19</f>
        <v>481.19</v>
      </c>
      <c r="L120" s="5">
        <f>100</f>
        <v>100</v>
      </c>
      <c r="M120" s="5">
        <f t="shared" si="21"/>
        <v>1781.19</v>
      </c>
    </row>
    <row r="121" spans="1:13" x14ac:dyDescent="0.25">
      <c r="A121" s="3" t="s">
        <v>127</v>
      </c>
      <c r="B121" s="5">
        <f>1083</f>
        <v>1083</v>
      </c>
      <c r="C121" s="5">
        <f>256.6</f>
        <v>256.60000000000002</v>
      </c>
      <c r="D121" s="5">
        <f>100</f>
        <v>100</v>
      </c>
      <c r="E121" s="4"/>
      <c r="F121" s="4"/>
      <c r="G121" s="4"/>
      <c r="H121" s="4"/>
      <c r="I121" s="5">
        <f>100</f>
        <v>100</v>
      </c>
      <c r="J121" s="4"/>
      <c r="K121" s="4"/>
      <c r="L121" s="5">
        <f>727.65</f>
        <v>727.65</v>
      </c>
      <c r="M121" s="5">
        <f t="shared" si="21"/>
        <v>2267.25</v>
      </c>
    </row>
    <row r="122" spans="1:13" x14ac:dyDescent="0.25">
      <c r="A122" s="3" t="s">
        <v>128</v>
      </c>
      <c r="B122" s="5">
        <f>29200</f>
        <v>29200</v>
      </c>
      <c r="C122" s="5">
        <f>7192.97</f>
        <v>7192.97</v>
      </c>
      <c r="D122" s="5">
        <f>6500</f>
        <v>6500</v>
      </c>
      <c r="E122" s="5">
        <f>167.98</f>
        <v>167.98</v>
      </c>
      <c r="F122" s="4"/>
      <c r="G122" s="4"/>
      <c r="H122" s="4"/>
      <c r="I122" s="4"/>
      <c r="J122" s="4"/>
      <c r="K122" s="5">
        <f>1000</f>
        <v>1000</v>
      </c>
      <c r="L122" s="5">
        <f>900</f>
        <v>900</v>
      </c>
      <c r="M122" s="5">
        <f t="shared" si="21"/>
        <v>44960.950000000004</v>
      </c>
    </row>
    <row r="123" spans="1:13" x14ac:dyDescent="0.25">
      <c r="A123" s="3" t="s">
        <v>129</v>
      </c>
      <c r="B123" s="5">
        <f>11545</f>
        <v>11545</v>
      </c>
      <c r="C123" s="5">
        <f>2440</f>
        <v>2440</v>
      </c>
      <c r="D123" s="5">
        <f>2707.18</f>
        <v>2707.18</v>
      </c>
      <c r="E123" s="5">
        <f>2270</f>
        <v>2270</v>
      </c>
      <c r="F123" s="4"/>
      <c r="G123" s="4"/>
      <c r="H123" s="4"/>
      <c r="I123" s="4"/>
      <c r="J123" s="4"/>
      <c r="K123" s="4"/>
      <c r="L123" s="5">
        <f>61</f>
        <v>61</v>
      </c>
      <c r="M123" s="5">
        <f t="shared" si="21"/>
        <v>19023.18</v>
      </c>
    </row>
    <row r="124" spans="1:13" x14ac:dyDescent="0.25">
      <c r="A124" s="3" t="s">
        <v>130</v>
      </c>
      <c r="B124" s="5">
        <f>-142.56</f>
        <v>-142.56</v>
      </c>
      <c r="C124" s="5">
        <f>-43.99</f>
        <v>-43.99</v>
      </c>
      <c r="D124" s="4"/>
      <c r="E124" s="5">
        <f>80.92</f>
        <v>80.92</v>
      </c>
      <c r="F124" s="4"/>
      <c r="G124" s="5">
        <f>364.93</f>
        <v>364.93</v>
      </c>
      <c r="H124" s="4"/>
      <c r="I124" s="4"/>
      <c r="J124" s="4"/>
      <c r="K124" s="4"/>
      <c r="L124" s="4"/>
      <c r="M124" s="5">
        <f t="shared" si="21"/>
        <v>259.3</v>
      </c>
    </row>
    <row r="125" spans="1:13" x14ac:dyDescent="0.25">
      <c r="A125" s="3" t="s">
        <v>131</v>
      </c>
      <c r="B125" s="5">
        <f>689.04</f>
        <v>689.04</v>
      </c>
      <c r="C125" s="5">
        <f>879.66</f>
        <v>879.66</v>
      </c>
      <c r="D125" s="5">
        <f>310</f>
        <v>310</v>
      </c>
      <c r="E125" s="5">
        <f>2440</f>
        <v>2440</v>
      </c>
      <c r="F125" s="5">
        <f>756.25</f>
        <v>756.25</v>
      </c>
      <c r="G125" s="4"/>
      <c r="H125" s="4"/>
      <c r="I125" s="4"/>
      <c r="J125" s="4"/>
      <c r="K125" s="4"/>
      <c r="L125" s="5">
        <f>75</f>
        <v>75</v>
      </c>
      <c r="M125" s="5">
        <f t="shared" si="21"/>
        <v>5149.95</v>
      </c>
    </row>
    <row r="126" spans="1:13" x14ac:dyDescent="0.25">
      <c r="A126" s="3" t="s">
        <v>132</v>
      </c>
      <c r="B126" s="4"/>
      <c r="C126" s="4"/>
      <c r="D126" s="4"/>
      <c r="E126" s="5">
        <f>875</f>
        <v>875</v>
      </c>
      <c r="F126" s="4"/>
      <c r="G126" s="4"/>
      <c r="H126" s="4"/>
      <c r="I126" s="4"/>
      <c r="J126" s="4"/>
      <c r="K126" s="4"/>
      <c r="L126" s="4"/>
      <c r="M126" s="5">
        <f t="shared" si="21"/>
        <v>875</v>
      </c>
    </row>
    <row r="127" spans="1:13" x14ac:dyDescent="0.25">
      <c r="A127" s="3" t="s">
        <v>133</v>
      </c>
      <c r="B127" s="4"/>
      <c r="C127" s="5">
        <f>2646.37</f>
        <v>2646.37</v>
      </c>
      <c r="D127" s="5">
        <f>542.95</f>
        <v>542.95000000000005</v>
      </c>
      <c r="E127" s="4"/>
      <c r="F127" s="4"/>
      <c r="G127" s="4"/>
      <c r="H127" s="4"/>
      <c r="I127" s="4"/>
      <c r="J127" s="4"/>
      <c r="K127" s="4"/>
      <c r="L127" s="4"/>
      <c r="M127" s="5">
        <f t="shared" si="21"/>
        <v>3189.3199999999997</v>
      </c>
    </row>
    <row r="128" spans="1:13" x14ac:dyDescent="0.25">
      <c r="A128" s="3" t="s">
        <v>134</v>
      </c>
      <c r="B128" s="5">
        <f>-2500</f>
        <v>-2500</v>
      </c>
      <c r="C128" s="5">
        <f>0</f>
        <v>0</v>
      </c>
      <c r="D128" s="5">
        <f>2050</f>
        <v>2050</v>
      </c>
      <c r="E128" s="5">
        <f>-1850</f>
        <v>-1850</v>
      </c>
      <c r="F128" s="5">
        <f>-200</f>
        <v>-200</v>
      </c>
      <c r="G128" s="5">
        <f>450</f>
        <v>450</v>
      </c>
      <c r="H128" s="4"/>
      <c r="I128" s="4"/>
      <c r="J128" s="4"/>
      <c r="K128" s="4"/>
      <c r="L128" s="5">
        <f>2050</f>
        <v>2050</v>
      </c>
      <c r="M128" s="5">
        <f t="shared" si="21"/>
        <v>0</v>
      </c>
    </row>
    <row r="129" spans="1:13" x14ac:dyDescent="0.25">
      <c r="A129" s="3" t="s">
        <v>135</v>
      </c>
      <c r="B129" s="6">
        <f t="shared" ref="B129:L129" si="22">(((((((((((((((((B111)+(B112))+(B113))+(B114))+(B115))+(B116))+(B117))+(B118))+(B119))+(B120))+(B121))+(B122))+(B123))+(B124))+(B125))+(B126))+(B127))+(B128)</f>
        <v>54135.39</v>
      </c>
      <c r="C129" s="6">
        <f t="shared" si="22"/>
        <v>29848.319999999996</v>
      </c>
      <c r="D129" s="6">
        <f t="shared" si="22"/>
        <v>24984.05</v>
      </c>
      <c r="E129" s="6">
        <f t="shared" si="22"/>
        <v>5736.09</v>
      </c>
      <c r="F129" s="6">
        <f t="shared" si="22"/>
        <v>9093.7999999999993</v>
      </c>
      <c r="G129" s="6">
        <f t="shared" si="22"/>
        <v>1182.43</v>
      </c>
      <c r="H129" s="6">
        <f t="shared" si="22"/>
        <v>376.25</v>
      </c>
      <c r="I129" s="6">
        <f t="shared" si="22"/>
        <v>1774.01</v>
      </c>
      <c r="J129" s="6">
        <f t="shared" si="22"/>
        <v>415.78</v>
      </c>
      <c r="K129" s="6">
        <f t="shared" si="22"/>
        <v>2134.23</v>
      </c>
      <c r="L129" s="6">
        <f t="shared" si="22"/>
        <v>5123.2199999999993</v>
      </c>
      <c r="M129" s="6">
        <f t="shared" si="21"/>
        <v>134803.56999999998</v>
      </c>
    </row>
    <row r="130" spans="1:13" x14ac:dyDescent="0.25">
      <c r="A130" s="3" t="s">
        <v>136</v>
      </c>
      <c r="B130" s="6">
        <f t="shared" ref="B130:L130" si="23">((((((((B49)+(B52))+(B59))+(B72))+(B87))+(B94))+(B104))+(B110))+(B129)</f>
        <v>81114.509999999995</v>
      </c>
      <c r="C130" s="6">
        <f t="shared" si="23"/>
        <v>51536.81</v>
      </c>
      <c r="D130" s="6">
        <f t="shared" si="23"/>
        <v>59568.350000000006</v>
      </c>
      <c r="E130" s="6">
        <f t="shared" si="23"/>
        <v>27020.87</v>
      </c>
      <c r="F130" s="6">
        <f t="shared" si="23"/>
        <v>36442.770000000004</v>
      </c>
      <c r="G130" s="6">
        <f t="shared" si="23"/>
        <v>16371.099999999999</v>
      </c>
      <c r="H130" s="6">
        <f t="shared" si="23"/>
        <v>20510.030000000002</v>
      </c>
      <c r="I130" s="6">
        <f t="shared" si="23"/>
        <v>19723.399999999994</v>
      </c>
      <c r="J130" s="6">
        <f t="shared" si="23"/>
        <v>20240.440000000002</v>
      </c>
      <c r="K130" s="6">
        <f t="shared" si="23"/>
        <v>30180.98</v>
      </c>
      <c r="L130" s="6">
        <f t="shared" si="23"/>
        <v>26626.789999999994</v>
      </c>
      <c r="M130" s="6">
        <f t="shared" si="21"/>
        <v>389336.04999999993</v>
      </c>
    </row>
    <row r="131" spans="1:13" x14ac:dyDescent="0.25">
      <c r="A131" s="3" t="s">
        <v>137</v>
      </c>
      <c r="B131" s="6">
        <f t="shared" ref="B131:L131" si="24">(B44)-(B130)</f>
        <v>64407.810000000012</v>
      </c>
      <c r="C131" s="6">
        <f t="shared" si="24"/>
        <v>-21763.959999999995</v>
      </c>
      <c r="D131" s="6">
        <f t="shared" si="24"/>
        <v>-57570.55</v>
      </c>
      <c r="E131" s="6">
        <f t="shared" si="24"/>
        <v>11948.439999999999</v>
      </c>
      <c r="F131" s="6">
        <f t="shared" si="24"/>
        <v>11970.729999999996</v>
      </c>
      <c r="G131" s="6">
        <f t="shared" si="24"/>
        <v>25462.11</v>
      </c>
      <c r="H131" s="6">
        <f t="shared" si="24"/>
        <v>-8467.9800000000014</v>
      </c>
      <c r="I131" s="6">
        <f t="shared" si="24"/>
        <v>-15353.919999999995</v>
      </c>
      <c r="J131" s="6">
        <f t="shared" si="24"/>
        <v>26902.36</v>
      </c>
      <c r="K131" s="6">
        <f t="shared" si="24"/>
        <v>-39246.28</v>
      </c>
      <c r="L131" s="6">
        <f t="shared" si="24"/>
        <v>3334.7700000000041</v>
      </c>
      <c r="M131" s="6">
        <f t="shared" si="21"/>
        <v>1623.5300000000279</v>
      </c>
    </row>
    <row r="132" spans="1:13" x14ac:dyDescent="0.25">
      <c r="A132" s="3" t="s">
        <v>138</v>
      </c>
      <c r="B132" s="7">
        <f t="shared" ref="B132:L132" si="25">(B131)+(0)</f>
        <v>64407.810000000012</v>
      </c>
      <c r="C132" s="7">
        <f t="shared" si="25"/>
        <v>-21763.959999999995</v>
      </c>
      <c r="D132" s="7">
        <f t="shared" si="25"/>
        <v>-57570.55</v>
      </c>
      <c r="E132" s="7">
        <f t="shared" si="25"/>
        <v>11948.439999999999</v>
      </c>
      <c r="F132" s="7">
        <f t="shared" si="25"/>
        <v>11970.729999999996</v>
      </c>
      <c r="G132" s="7">
        <f t="shared" si="25"/>
        <v>25462.11</v>
      </c>
      <c r="H132" s="7">
        <f t="shared" si="25"/>
        <v>-8467.9800000000014</v>
      </c>
      <c r="I132" s="7">
        <f t="shared" si="25"/>
        <v>-15353.919999999995</v>
      </c>
      <c r="J132" s="7">
        <f t="shared" si="25"/>
        <v>26902.36</v>
      </c>
      <c r="K132" s="7">
        <f t="shared" si="25"/>
        <v>-39246.28</v>
      </c>
      <c r="L132" s="7">
        <f t="shared" si="25"/>
        <v>3334.7700000000041</v>
      </c>
      <c r="M132" s="7">
        <f t="shared" si="21"/>
        <v>1623.5300000000279</v>
      </c>
    </row>
    <row r="133" spans="1:13" x14ac:dyDescent="0.25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6" spans="1:13" x14ac:dyDescent="0.25">
      <c r="A136" s="10" t="s">
        <v>139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</sheetData>
  <mergeCells count="4">
    <mergeCell ref="A136:M136"/>
    <mergeCell ref="A1:M1"/>
    <mergeCell ref="A2:M2"/>
    <mergeCell ref="A3:M3"/>
  </mergeCells>
  <pageMargins left="0.7" right="0.7" top="0.75" bottom="0.75" header="0.3" footer="0.3"/>
  <pageSetup scale="75" fitToHeight="0" orientation="landscape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and Loss by Month</vt:lpstr>
      <vt:lpstr>'Profit and Loss by Month'!Print_Area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Ginger Greaves</cp:lastModifiedBy>
  <cp:lastPrinted>2024-06-24T16:19:50Z</cp:lastPrinted>
  <dcterms:created xsi:type="dcterms:W3CDTF">2024-06-24T15:57:17Z</dcterms:created>
  <dcterms:modified xsi:type="dcterms:W3CDTF">2024-06-24T23:18:23Z</dcterms:modified>
</cp:coreProperties>
</file>