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NGER\Documents\SRPF\BOARD MATERIALS\SHIRLEY'S REPORTS\MONTHLY FINANCIALS\"/>
    </mc:Choice>
  </mc:AlternateContent>
  <xr:revisionPtr revIDLastSave="0" documentId="8_{D8EC1917-C6FF-4BD3-B8A6-2858B4C68610}" xr6:coauthVersionLast="47" xr6:coauthVersionMax="47" xr10:uidLastSave="{00000000-0000-0000-0000-000000000000}"/>
  <bookViews>
    <workbookView xWindow="-120" yWindow="600" windowWidth="19440" windowHeight="10440" xr2:uid="{00000000-000D-0000-FFFF-FFFF00000000}"/>
  </bookViews>
  <sheets>
    <sheet name="Profit and Loss by Mon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6" i="1" l="1"/>
  <c r="L135" i="1"/>
  <c r="G129" i="1"/>
  <c r="L129" i="1" s="1"/>
  <c r="F129" i="1"/>
  <c r="E129" i="1"/>
  <c r="D129" i="1"/>
  <c r="C129" i="1"/>
  <c r="B129" i="1"/>
  <c r="K128" i="1"/>
  <c r="D128" i="1"/>
  <c r="C128" i="1"/>
  <c r="L128" i="1" s="1"/>
  <c r="L127" i="1"/>
  <c r="E127" i="1"/>
  <c r="F126" i="1"/>
  <c r="E126" i="1"/>
  <c r="D126" i="1"/>
  <c r="C126" i="1"/>
  <c r="B126" i="1"/>
  <c r="L126" i="1" s="1"/>
  <c r="L125" i="1"/>
  <c r="G125" i="1"/>
  <c r="E125" i="1"/>
  <c r="C125" i="1"/>
  <c r="B125" i="1"/>
  <c r="E124" i="1"/>
  <c r="L124" i="1" s="1"/>
  <c r="D124" i="1"/>
  <c r="C124" i="1"/>
  <c r="B124" i="1"/>
  <c r="K123" i="1"/>
  <c r="E123" i="1"/>
  <c r="D123" i="1"/>
  <c r="C123" i="1"/>
  <c r="L123" i="1" s="1"/>
  <c r="B123" i="1"/>
  <c r="L122" i="1"/>
  <c r="I122" i="1"/>
  <c r="D122" i="1"/>
  <c r="C122" i="1"/>
  <c r="B122" i="1"/>
  <c r="K121" i="1"/>
  <c r="L121" i="1" s="1"/>
  <c r="F121" i="1"/>
  <c r="C121" i="1"/>
  <c r="K120" i="1"/>
  <c r="J120" i="1"/>
  <c r="I120" i="1"/>
  <c r="C120" i="1"/>
  <c r="L120" i="1" s="1"/>
  <c r="L119" i="1"/>
  <c r="E119" i="1"/>
  <c r="C119" i="1"/>
  <c r="B119" i="1"/>
  <c r="L118" i="1"/>
  <c r="E118" i="1"/>
  <c r="D118" i="1"/>
  <c r="F117" i="1"/>
  <c r="L117" i="1" s="1"/>
  <c r="E117" i="1"/>
  <c r="D117" i="1"/>
  <c r="C117" i="1"/>
  <c r="B117" i="1"/>
  <c r="C116" i="1"/>
  <c r="B116" i="1"/>
  <c r="L116" i="1" s="1"/>
  <c r="L115" i="1"/>
  <c r="I115" i="1"/>
  <c r="F115" i="1"/>
  <c r="E115" i="1"/>
  <c r="D115" i="1"/>
  <c r="C115" i="1"/>
  <c r="B115" i="1"/>
  <c r="E114" i="1"/>
  <c r="L114" i="1" s="1"/>
  <c r="D114" i="1"/>
  <c r="C114" i="1"/>
  <c r="B114" i="1"/>
  <c r="K113" i="1"/>
  <c r="K130" i="1" s="1"/>
  <c r="J113" i="1"/>
  <c r="J130" i="1" s="1"/>
  <c r="I113" i="1"/>
  <c r="I130" i="1" s="1"/>
  <c r="H113" i="1"/>
  <c r="H130" i="1" s="1"/>
  <c r="G113" i="1"/>
  <c r="G130" i="1" s="1"/>
  <c r="F113" i="1"/>
  <c r="F130" i="1" s="1"/>
  <c r="E113" i="1"/>
  <c r="E130" i="1" s="1"/>
  <c r="D113" i="1"/>
  <c r="D130" i="1" s="1"/>
  <c r="C113" i="1"/>
  <c r="C130" i="1" s="1"/>
  <c r="B113" i="1"/>
  <c r="B130" i="1" s="1"/>
  <c r="L112" i="1"/>
  <c r="J111" i="1"/>
  <c r="E111" i="1"/>
  <c r="D111" i="1"/>
  <c r="B111" i="1"/>
  <c r="G110" i="1"/>
  <c r="L110" i="1" s="1"/>
  <c r="J109" i="1"/>
  <c r="G109" i="1"/>
  <c r="F109" i="1"/>
  <c r="E109" i="1"/>
  <c r="D109" i="1"/>
  <c r="C109" i="1"/>
  <c r="B109" i="1"/>
  <c r="L109" i="1" s="1"/>
  <c r="J108" i="1"/>
  <c r="G108" i="1"/>
  <c r="F108" i="1"/>
  <c r="E108" i="1"/>
  <c r="D108" i="1"/>
  <c r="C108" i="1"/>
  <c r="B108" i="1"/>
  <c r="L108" i="1" s="1"/>
  <c r="K107" i="1"/>
  <c r="K111" i="1" s="1"/>
  <c r="I107" i="1"/>
  <c r="I111" i="1" s="1"/>
  <c r="H107" i="1"/>
  <c r="H111" i="1" s="1"/>
  <c r="G107" i="1"/>
  <c r="G111" i="1" s="1"/>
  <c r="F107" i="1"/>
  <c r="F111" i="1" s="1"/>
  <c r="E107" i="1"/>
  <c r="D107" i="1"/>
  <c r="C107" i="1"/>
  <c r="L107" i="1" s="1"/>
  <c r="B107" i="1"/>
  <c r="L106" i="1"/>
  <c r="D105" i="1"/>
  <c r="K104" i="1"/>
  <c r="J104" i="1"/>
  <c r="I104" i="1"/>
  <c r="H104" i="1"/>
  <c r="G104" i="1"/>
  <c r="F104" i="1"/>
  <c r="E104" i="1"/>
  <c r="D104" i="1"/>
  <c r="C104" i="1"/>
  <c r="B104" i="1"/>
  <c r="L104" i="1" s="1"/>
  <c r="D103" i="1"/>
  <c r="L103" i="1" s="1"/>
  <c r="K102" i="1"/>
  <c r="J102" i="1"/>
  <c r="I102" i="1"/>
  <c r="H102" i="1"/>
  <c r="G102" i="1"/>
  <c r="F102" i="1"/>
  <c r="E102" i="1"/>
  <c r="E105" i="1" s="1"/>
  <c r="C102" i="1"/>
  <c r="L102" i="1" s="1"/>
  <c r="B102" i="1"/>
  <c r="K101" i="1"/>
  <c r="J101" i="1"/>
  <c r="I101" i="1"/>
  <c r="H101" i="1"/>
  <c r="G101" i="1"/>
  <c r="G105" i="1" s="1"/>
  <c r="F101" i="1"/>
  <c r="E101" i="1"/>
  <c r="D101" i="1"/>
  <c r="L101" i="1" s="1"/>
  <c r="C101" i="1"/>
  <c r="B101" i="1"/>
  <c r="L100" i="1"/>
  <c r="H100" i="1"/>
  <c r="D99" i="1"/>
  <c r="L99" i="1" s="1"/>
  <c r="C99" i="1"/>
  <c r="C105" i="1" s="1"/>
  <c r="B99" i="1"/>
  <c r="B105" i="1" s="1"/>
  <c r="H98" i="1"/>
  <c r="L98" i="1" s="1"/>
  <c r="K97" i="1"/>
  <c r="K105" i="1" s="1"/>
  <c r="J97" i="1"/>
  <c r="J105" i="1" s="1"/>
  <c r="I97" i="1"/>
  <c r="I105" i="1" s="1"/>
  <c r="F97" i="1"/>
  <c r="F105" i="1" s="1"/>
  <c r="D97" i="1"/>
  <c r="L97" i="1" s="1"/>
  <c r="B97" i="1"/>
  <c r="L96" i="1"/>
  <c r="B95" i="1"/>
  <c r="L94" i="1"/>
  <c r="F94" i="1"/>
  <c r="E94" i="1"/>
  <c r="K93" i="1"/>
  <c r="L93" i="1" s="1"/>
  <c r="K92" i="1"/>
  <c r="J92" i="1"/>
  <c r="J95" i="1" s="1"/>
  <c r="I92" i="1"/>
  <c r="I95" i="1" s="1"/>
  <c r="H92" i="1"/>
  <c r="G92" i="1"/>
  <c r="G95" i="1" s="1"/>
  <c r="F92" i="1"/>
  <c r="E92" i="1"/>
  <c r="D92" i="1"/>
  <c r="C92" i="1"/>
  <c r="B92" i="1"/>
  <c r="L92" i="1" s="1"/>
  <c r="L91" i="1"/>
  <c r="K91" i="1"/>
  <c r="J91" i="1"/>
  <c r="I91" i="1"/>
  <c r="F91" i="1"/>
  <c r="E91" i="1"/>
  <c r="D91" i="1"/>
  <c r="C91" i="1"/>
  <c r="K90" i="1"/>
  <c r="K95" i="1" s="1"/>
  <c r="J90" i="1"/>
  <c r="I90" i="1"/>
  <c r="H90" i="1"/>
  <c r="H95" i="1" s="1"/>
  <c r="G90" i="1"/>
  <c r="F90" i="1"/>
  <c r="F95" i="1" s="1"/>
  <c r="E90" i="1"/>
  <c r="E95" i="1" s="1"/>
  <c r="D90" i="1"/>
  <c r="D95" i="1" s="1"/>
  <c r="C90" i="1"/>
  <c r="C95" i="1" s="1"/>
  <c r="B90" i="1"/>
  <c r="L89" i="1"/>
  <c r="I88" i="1"/>
  <c r="H88" i="1"/>
  <c r="K87" i="1"/>
  <c r="L87" i="1" s="1"/>
  <c r="I87" i="1"/>
  <c r="H87" i="1"/>
  <c r="E87" i="1"/>
  <c r="B87" i="1"/>
  <c r="K86" i="1"/>
  <c r="G86" i="1"/>
  <c r="C86" i="1"/>
  <c r="L86" i="1" s="1"/>
  <c r="K85" i="1"/>
  <c r="J85" i="1"/>
  <c r="G85" i="1"/>
  <c r="F85" i="1"/>
  <c r="E85" i="1"/>
  <c r="C85" i="1"/>
  <c r="L85" i="1" s="1"/>
  <c r="L84" i="1"/>
  <c r="B84" i="1"/>
  <c r="I83" i="1"/>
  <c r="H83" i="1"/>
  <c r="G83" i="1"/>
  <c r="F83" i="1"/>
  <c r="C83" i="1"/>
  <c r="L83" i="1" s="1"/>
  <c r="L82" i="1"/>
  <c r="K82" i="1"/>
  <c r="J82" i="1"/>
  <c r="I82" i="1"/>
  <c r="H82" i="1"/>
  <c r="G82" i="1"/>
  <c r="F82" i="1"/>
  <c r="E82" i="1"/>
  <c r="D82" i="1"/>
  <c r="C82" i="1"/>
  <c r="B82" i="1"/>
  <c r="J81" i="1"/>
  <c r="I81" i="1"/>
  <c r="H81" i="1"/>
  <c r="F81" i="1"/>
  <c r="E81" i="1"/>
  <c r="L81" i="1" s="1"/>
  <c r="D81" i="1"/>
  <c r="C81" i="1"/>
  <c r="K80" i="1"/>
  <c r="J80" i="1"/>
  <c r="I80" i="1"/>
  <c r="H80" i="1"/>
  <c r="G80" i="1"/>
  <c r="F80" i="1"/>
  <c r="E80" i="1"/>
  <c r="D80" i="1"/>
  <c r="L80" i="1" s="1"/>
  <c r="C80" i="1"/>
  <c r="B80" i="1"/>
  <c r="K79" i="1"/>
  <c r="D79" i="1"/>
  <c r="L79" i="1" s="1"/>
  <c r="K78" i="1"/>
  <c r="J78" i="1"/>
  <c r="L78" i="1" s="1"/>
  <c r="E77" i="1"/>
  <c r="D77" i="1"/>
  <c r="C77" i="1"/>
  <c r="L77" i="1" s="1"/>
  <c r="L76" i="1"/>
  <c r="K76" i="1"/>
  <c r="J76" i="1"/>
  <c r="I76" i="1"/>
  <c r="H76" i="1"/>
  <c r="G76" i="1"/>
  <c r="F76" i="1"/>
  <c r="E76" i="1"/>
  <c r="D76" i="1"/>
  <c r="C76" i="1"/>
  <c r="J75" i="1"/>
  <c r="F75" i="1"/>
  <c r="E75" i="1"/>
  <c r="D75" i="1"/>
  <c r="C75" i="1"/>
  <c r="L75" i="1" s="1"/>
  <c r="L74" i="1"/>
  <c r="K74" i="1"/>
  <c r="K88" i="1" s="1"/>
  <c r="J74" i="1"/>
  <c r="J88" i="1" s="1"/>
  <c r="I74" i="1"/>
  <c r="H74" i="1"/>
  <c r="G74" i="1"/>
  <c r="G88" i="1" s="1"/>
  <c r="F74" i="1"/>
  <c r="F88" i="1" s="1"/>
  <c r="E74" i="1"/>
  <c r="E88" i="1" s="1"/>
  <c r="D74" i="1"/>
  <c r="D88" i="1" s="1"/>
  <c r="C74" i="1"/>
  <c r="C88" i="1" s="1"/>
  <c r="B74" i="1"/>
  <c r="B88" i="1" s="1"/>
  <c r="L88" i="1" s="1"/>
  <c r="L73" i="1"/>
  <c r="H72" i="1"/>
  <c r="K71" i="1"/>
  <c r="L71" i="1" s="1"/>
  <c r="J71" i="1"/>
  <c r="I71" i="1"/>
  <c r="H71" i="1"/>
  <c r="E71" i="1"/>
  <c r="D71" i="1"/>
  <c r="C71" i="1"/>
  <c r="B71" i="1"/>
  <c r="L70" i="1"/>
  <c r="K70" i="1"/>
  <c r="J70" i="1"/>
  <c r="I70" i="1"/>
  <c r="D70" i="1"/>
  <c r="K69" i="1"/>
  <c r="J69" i="1"/>
  <c r="I69" i="1"/>
  <c r="I72" i="1" s="1"/>
  <c r="D69" i="1"/>
  <c r="L69" i="1" s="1"/>
  <c r="G68" i="1"/>
  <c r="L68" i="1" s="1"/>
  <c r="H67" i="1"/>
  <c r="G67" i="1"/>
  <c r="F67" i="1"/>
  <c r="E67" i="1"/>
  <c r="E72" i="1" s="1"/>
  <c r="I66" i="1"/>
  <c r="C66" i="1"/>
  <c r="L66" i="1" s="1"/>
  <c r="L65" i="1"/>
  <c r="B65" i="1"/>
  <c r="C64" i="1"/>
  <c r="L64" i="1" s="1"/>
  <c r="K63" i="1"/>
  <c r="J63" i="1"/>
  <c r="I63" i="1"/>
  <c r="H63" i="1"/>
  <c r="F63" i="1"/>
  <c r="E63" i="1"/>
  <c r="C63" i="1"/>
  <c r="B63" i="1"/>
  <c r="L63" i="1" s="1"/>
  <c r="H62" i="1"/>
  <c r="L62" i="1" s="1"/>
  <c r="K61" i="1"/>
  <c r="K72" i="1" s="1"/>
  <c r="J61" i="1"/>
  <c r="J72" i="1" s="1"/>
  <c r="I61" i="1"/>
  <c r="H61" i="1"/>
  <c r="G61" i="1"/>
  <c r="G72" i="1" s="1"/>
  <c r="F61" i="1"/>
  <c r="F72" i="1" s="1"/>
  <c r="E61" i="1"/>
  <c r="D61" i="1"/>
  <c r="L61" i="1" s="1"/>
  <c r="C61" i="1"/>
  <c r="C72" i="1" s="1"/>
  <c r="B61" i="1"/>
  <c r="B72" i="1" s="1"/>
  <c r="L60" i="1"/>
  <c r="K59" i="1"/>
  <c r="H59" i="1"/>
  <c r="G59" i="1"/>
  <c r="C59" i="1"/>
  <c r="J58" i="1"/>
  <c r="I58" i="1"/>
  <c r="G58" i="1"/>
  <c r="F58" i="1"/>
  <c r="E58" i="1"/>
  <c r="D58" i="1"/>
  <c r="C58" i="1"/>
  <c r="B58" i="1"/>
  <c r="L58" i="1" s="1"/>
  <c r="K57" i="1"/>
  <c r="J57" i="1"/>
  <c r="G57" i="1"/>
  <c r="D57" i="1"/>
  <c r="D59" i="1" s="1"/>
  <c r="B57" i="1"/>
  <c r="L57" i="1" s="1"/>
  <c r="K56" i="1"/>
  <c r="J56" i="1"/>
  <c r="J59" i="1" s="1"/>
  <c r="I56" i="1"/>
  <c r="I59" i="1" s="1"/>
  <c r="H56" i="1"/>
  <c r="G56" i="1"/>
  <c r="F56" i="1"/>
  <c r="E56" i="1"/>
  <c r="E59" i="1" s="1"/>
  <c r="D56" i="1"/>
  <c r="C56" i="1"/>
  <c r="B56" i="1"/>
  <c r="B59" i="1" s="1"/>
  <c r="L55" i="1"/>
  <c r="E55" i="1"/>
  <c r="F54" i="1"/>
  <c r="F59" i="1" s="1"/>
  <c r="L53" i="1"/>
  <c r="K52" i="1"/>
  <c r="J52" i="1"/>
  <c r="G52" i="1"/>
  <c r="F52" i="1"/>
  <c r="E52" i="1"/>
  <c r="C52" i="1"/>
  <c r="B52" i="1"/>
  <c r="K51" i="1"/>
  <c r="J51" i="1"/>
  <c r="I51" i="1"/>
  <c r="I52" i="1" s="1"/>
  <c r="H51" i="1"/>
  <c r="H52" i="1" s="1"/>
  <c r="G51" i="1"/>
  <c r="F51" i="1"/>
  <c r="E51" i="1"/>
  <c r="D51" i="1"/>
  <c r="L51" i="1" s="1"/>
  <c r="C51" i="1"/>
  <c r="B51" i="1"/>
  <c r="L50" i="1"/>
  <c r="J49" i="1"/>
  <c r="I49" i="1"/>
  <c r="H49" i="1"/>
  <c r="G49" i="1"/>
  <c r="F49" i="1"/>
  <c r="E49" i="1"/>
  <c r="D49" i="1"/>
  <c r="C49" i="1"/>
  <c r="B49" i="1"/>
  <c r="B131" i="1" s="1"/>
  <c r="K48" i="1"/>
  <c r="L48" i="1" s="1"/>
  <c r="H47" i="1"/>
  <c r="L47" i="1" s="1"/>
  <c r="L46" i="1"/>
  <c r="K42" i="1"/>
  <c r="J42" i="1"/>
  <c r="I42" i="1"/>
  <c r="G42" i="1"/>
  <c r="F42" i="1"/>
  <c r="F41" i="1"/>
  <c r="E41" i="1"/>
  <c r="L41" i="1" s="1"/>
  <c r="K40" i="1"/>
  <c r="H40" i="1"/>
  <c r="H42" i="1" s="1"/>
  <c r="E40" i="1"/>
  <c r="D40" i="1"/>
  <c r="L40" i="1" s="1"/>
  <c r="C40" i="1"/>
  <c r="B40" i="1"/>
  <c r="K39" i="1"/>
  <c r="G39" i="1"/>
  <c r="D39" i="1"/>
  <c r="C39" i="1"/>
  <c r="C42" i="1" s="1"/>
  <c r="B39" i="1"/>
  <c r="L39" i="1" s="1"/>
  <c r="L38" i="1"/>
  <c r="K38" i="1"/>
  <c r="E37" i="1"/>
  <c r="L37" i="1" s="1"/>
  <c r="D37" i="1"/>
  <c r="D42" i="1" s="1"/>
  <c r="B37" i="1"/>
  <c r="L36" i="1"/>
  <c r="K35" i="1"/>
  <c r="I35" i="1"/>
  <c r="H35" i="1"/>
  <c r="F35" i="1"/>
  <c r="E35" i="1"/>
  <c r="D35" i="1"/>
  <c r="C35" i="1"/>
  <c r="B35" i="1"/>
  <c r="L34" i="1"/>
  <c r="J34" i="1"/>
  <c r="J35" i="1" s="1"/>
  <c r="G34" i="1"/>
  <c r="G35" i="1" s="1"/>
  <c r="L33" i="1"/>
  <c r="K32" i="1"/>
  <c r="H32" i="1"/>
  <c r="J31" i="1"/>
  <c r="G31" i="1"/>
  <c r="F31" i="1"/>
  <c r="E31" i="1"/>
  <c r="D31" i="1"/>
  <c r="C31" i="1"/>
  <c r="L31" i="1" s="1"/>
  <c r="B31" i="1"/>
  <c r="J30" i="1"/>
  <c r="G30" i="1"/>
  <c r="F30" i="1"/>
  <c r="E30" i="1"/>
  <c r="D30" i="1"/>
  <c r="C30" i="1"/>
  <c r="L30" i="1" s="1"/>
  <c r="B30" i="1"/>
  <c r="K29" i="1"/>
  <c r="J29" i="1"/>
  <c r="I29" i="1"/>
  <c r="I32" i="1" s="1"/>
  <c r="H29" i="1"/>
  <c r="G29" i="1"/>
  <c r="F29" i="1"/>
  <c r="L29" i="1" s="1"/>
  <c r="E29" i="1"/>
  <c r="J28" i="1"/>
  <c r="G28" i="1"/>
  <c r="F28" i="1"/>
  <c r="E28" i="1"/>
  <c r="D28" i="1"/>
  <c r="C28" i="1"/>
  <c r="L28" i="1" s="1"/>
  <c r="B28" i="1"/>
  <c r="J27" i="1"/>
  <c r="J32" i="1" s="1"/>
  <c r="G27" i="1"/>
  <c r="G32" i="1" s="1"/>
  <c r="F27" i="1"/>
  <c r="F32" i="1" s="1"/>
  <c r="E27" i="1"/>
  <c r="E32" i="1" s="1"/>
  <c r="D27" i="1"/>
  <c r="D32" i="1" s="1"/>
  <c r="C27" i="1"/>
  <c r="C32" i="1" s="1"/>
  <c r="B27" i="1"/>
  <c r="B32" i="1" s="1"/>
  <c r="L26" i="1"/>
  <c r="K25" i="1"/>
  <c r="J25" i="1"/>
  <c r="H25" i="1"/>
  <c r="G25" i="1"/>
  <c r="C25" i="1"/>
  <c r="B25" i="1"/>
  <c r="F24" i="1"/>
  <c r="L24" i="1" s="1"/>
  <c r="K23" i="1"/>
  <c r="J23" i="1"/>
  <c r="I23" i="1"/>
  <c r="I25" i="1" s="1"/>
  <c r="H23" i="1"/>
  <c r="G23" i="1"/>
  <c r="F23" i="1"/>
  <c r="F25" i="1" s="1"/>
  <c r="E23" i="1"/>
  <c r="E25" i="1" s="1"/>
  <c r="D23" i="1"/>
  <c r="D25" i="1" s="1"/>
  <c r="C23" i="1"/>
  <c r="B23" i="1"/>
  <c r="L22" i="1"/>
  <c r="K21" i="1"/>
  <c r="I21" i="1"/>
  <c r="H21" i="1"/>
  <c r="G21" i="1"/>
  <c r="E21" i="1"/>
  <c r="D21" i="1"/>
  <c r="C21" i="1"/>
  <c r="B21" i="1"/>
  <c r="J20" i="1"/>
  <c r="L20" i="1" s="1"/>
  <c r="F20" i="1"/>
  <c r="F21" i="1" s="1"/>
  <c r="E20" i="1"/>
  <c r="L19" i="1"/>
  <c r="I19" i="1"/>
  <c r="L18" i="1"/>
  <c r="K17" i="1"/>
  <c r="J17" i="1"/>
  <c r="I17" i="1"/>
  <c r="H17" i="1"/>
  <c r="G17" i="1"/>
  <c r="F17" i="1"/>
  <c r="E17" i="1"/>
  <c r="D17" i="1"/>
  <c r="C17" i="1"/>
  <c r="B17" i="1"/>
  <c r="L17" i="1" s="1"/>
  <c r="B16" i="1"/>
  <c r="L16" i="1" s="1"/>
  <c r="L15" i="1"/>
  <c r="K14" i="1"/>
  <c r="I14" i="1"/>
  <c r="H14" i="1"/>
  <c r="G14" i="1"/>
  <c r="F14" i="1"/>
  <c r="D14" i="1"/>
  <c r="C14" i="1"/>
  <c r="B14" i="1"/>
  <c r="E13" i="1"/>
  <c r="E14" i="1" s="1"/>
  <c r="J12" i="1"/>
  <c r="J14" i="1" s="1"/>
  <c r="C12" i="1"/>
  <c r="L12" i="1" s="1"/>
  <c r="L11" i="1"/>
  <c r="J10" i="1"/>
  <c r="I10" i="1"/>
  <c r="F10" i="1"/>
  <c r="F43" i="1" s="1"/>
  <c r="F44" i="1" s="1"/>
  <c r="E10" i="1"/>
  <c r="D10" i="1"/>
  <c r="D43" i="1" s="1"/>
  <c r="D44" i="1" s="1"/>
  <c r="B10" i="1"/>
  <c r="L9" i="1"/>
  <c r="K9" i="1"/>
  <c r="E9" i="1"/>
  <c r="C9" i="1"/>
  <c r="K8" i="1"/>
  <c r="K10" i="1" s="1"/>
  <c r="K43" i="1" s="1"/>
  <c r="K44" i="1" s="1"/>
  <c r="J8" i="1"/>
  <c r="H8" i="1"/>
  <c r="H10" i="1" s="1"/>
  <c r="H43" i="1" s="1"/>
  <c r="H44" i="1" s="1"/>
  <c r="G8" i="1"/>
  <c r="G10" i="1" s="1"/>
  <c r="F8" i="1"/>
  <c r="D8" i="1"/>
  <c r="C8" i="1"/>
  <c r="C10" i="1" s="1"/>
  <c r="C43" i="1" s="1"/>
  <c r="C44" i="1" s="1"/>
  <c r="B8" i="1"/>
  <c r="L8" i="1" s="1"/>
  <c r="L7" i="1"/>
  <c r="J131" i="1" l="1"/>
  <c r="L95" i="1"/>
  <c r="I43" i="1"/>
  <c r="I44" i="1" s="1"/>
  <c r="I132" i="1" s="1"/>
  <c r="I133" i="1" s="1"/>
  <c r="L32" i="1"/>
  <c r="G43" i="1"/>
  <c r="G44" i="1" s="1"/>
  <c r="B43" i="1"/>
  <c r="L25" i="1"/>
  <c r="G131" i="1"/>
  <c r="L72" i="1"/>
  <c r="L130" i="1"/>
  <c r="E131" i="1"/>
  <c r="L14" i="1"/>
  <c r="L35" i="1"/>
  <c r="I131" i="1"/>
  <c r="F131" i="1"/>
  <c r="F132" i="1" s="1"/>
  <c r="F133" i="1" s="1"/>
  <c r="L59" i="1"/>
  <c r="L23" i="1"/>
  <c r="L27" i="1"/>
  <c r="L13" i="1"/>
  <c r="L10" i="1"/>
  <c r="K49" i="1"/>
  <c r="D52" i="1"/>
  <c r="L52" i="1" s="1"/>
  <c r="L56" i="1"/>
  <c r="C111" i="1"/>
  <c r="L111" i="1" s="1"/>
  <c r="L90" i="1"/>
  <c r="J21" i="1"/>
  <c r="J43" i="1" s="1"/>
  <c r="J44" i="1" s="1"/>
  <c r="J132" i="1" s="1"/>
  <c r="J133" i="1" s="1"/>
  <c r="L54" i="1"/>
  <c r="B42" i="1"/>
  <c r="L42" i="1" s="1"/>
  <c r="E42" i="1"/>
  <c r="E43" i="1" s="1"/>
  <c r="E44" i="1" s="1"/>
  <c r="E132" i="1" s="1"/>
  <c r="E133" i="1" s="1"/>
  <c r="L67" i="1"/>
  <c r="D72" i="1"/>
  <c r="H105" i="1"/>
  <c r="H131" i="1" s="1"/>
  <c r="H132" i="1" s="1"/>
  <c r="H133" i="1" s="1"/>
  <c r="L113" i="1"/>
  <c r="L105" i="1" l="1"/>
  <c r="C131" i="1"/>
  <c r="L43" i="1"/>
  <c r="B44" i="1"/>
  <c r="D131" i="1"/>
  <c r="D132" i="1" s="1"/>
  <c r="D133" i="1" s="1"/>
  <c r="G132" i="1"/>
  <c r="G133" i="1" s="1"/>
  <c r="L49" i="1"/>
  <c r="K131" i="1"/>
  <c r="K132" i="1" s="1"/>
  <c r="K133" i="1" s="1"/>
  <c r="L21" i="1"/>
  <c r="B132" i="1" l="1"/>
  <c r="L44" i="1"/>
  <c r="C132" i="1"/>
  <c r="C133" i="1" s="1"/>
  <c r="L131" i="1"/>
  <c r="B133" i="1" l="1"/>
  <c r="L133" i="1" s="1"/>
  <c r="L132" i="1"/>
</calcChain>
</file>

<file path=xl/sharedStrings.xml><?xml version="1.0" encoding="utf-8"?>
<sst xmlns="http://schemas.openxmlformats.org/spreadsheetml/2006/main" count="145" uniqueCount="145">
  <si>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</si>
  <si>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</si>
  <si>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</si>
  <si>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</si>
  <si>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</si>
  <si>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</si>
  <si>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</si>
  <si>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</si>
  <si>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</si>
  <si>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</si>
  <si>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Total</t>
  </si>
  <si>
    <t>Income</t>
  </si>
  <si>
    <t xml:space="preserve">   4000 Direct contributions</t>
  </si>
  <si>
    <t xml:space="preserve">      4010 Unsolicited contributions</t>
  </si>
  <si>
    <t xml:space="preserve">      4025 This Old House Capital Improvement</t>
  </si>
  <si>
    <t xml:space="preserve">   Total 4000 Direct contributions</t>
  </si>
  <si>
    <t xml:space="preserve">   4200 Non-government grants</t>
  </si>
  <si>
    <t xml:space="preserve">      4210 Corporate/business grants</t>
  </si>
  <si>
    <t xml:space="preserve">      4230 Foundation/trust grants</t>
  </si>
  <si>
    <t xml:space="preserve">   Total 4200 Non-government grants</t>
  </si>
  <si>
    <t xml:space="preserve">   4500 Government grants</t>
  </si>
  <si>
    <t xml:space="preserve">      4520 Federal grants</t>
  </si>
  <si>
    <t xml:space="preserve">   Total 4500 Government grants</t>
  </si>
  <si>
    <t xml:space="preserve">   5100 Program-related sales &amp; fees</t>
  </si>
  <si>
    <t xml:space="preserve">      5105 NERF Forum Educational</t>
  </si>
  <si>
    <t xml:space="preserve">      5110 Family Wildlife Day</t>
  </si>
  <si>
    <t xml:space="preserve">   Total 5100 Program-related sales &amp; fees</t>
  </si>
  <si>
    <t xml:space="preserve">   5200 Dues</t>
  </si>
  <si>
    <t xml:space="preserve">      5210 Membership dues-individuals</t>
  </si>
  <si>
    <t xml:space="preserve">      5220 Dues-Corporate Memberships</t>
  </si>
  <si>
    <t xml:space="preserve">   Total 5200 Dues</t>
  </si>
  <si>
    <t xml:space="preserve">   5300 Investment Income</t>
  </si>
  <si>
    <t xml:space="preserve">      5310 Interest-savings &amp; investments</t>
  </si>
  <si>
    <t xml:space="preserve">      5311 Interest -1083 EllisInvestment</t>
  </si>
  <si>
    <t xml:space="preserve">      5320 Dividends &amp; interest-securities</t>
  </si>
  <si>
    <t xml:space="preserve">      5360 Other investment income</t>
  </si>
  <si>
    <t xml:space="preserve">      5361 Other Investment 1083 Ellis</t>
  </si>
  <si>
    <t xml:space="preserve">   Total 5300 Investment Income</t>
  </si>
  <si>
    <t xml:space="preserve">   5400 Other sources</t>
  </si>
  <si>
    <t xml:space="preserve">      5450 Scholarship revenue</t>
  </si>
  <si>
    <t xml:space="preserve">   Total 5400 Other sources</t>
  </si>
  <si>
    <t xml:space="preserve">   5800 Events</t>
  </si>
  <si>
    <t xml:space="preserve">      5805 Events - Book Signing Event</t>
  </si>
  <si>
    <t xml:space="preserve">      5810 Events - Garden Tour</t>
  </si>
  <si>
    <t xml:space="preserve">      5820 Events - Art show/Concerts</t>
  </si>
  <si>
    <t xml:space="preserve">      5840 Events - CowBoy Julilee</t>
  </si>
  <si>
    <t xml:space="preserve">      5899 Event Other</t>
  </si>
  <si>
    <t xml:space="preserve">   Total 5800 Events</t>
  </si>
  <si>
    <t>Total Income</t>
  </si>
  <si>
    <t>Gross Profit</t>
  </si>
  <si>
    <t>Expenses</t>
  </si>
  <si>
    <t xml:space="preserve">   7000 Grants &amp; direct assistance</t>
  </si>
  <si>
    <t xml:space="preserve">      7040 Awards &amp; grants - individuals</t>
  </si>
  <si>
    <t xml:space="preserve">      7050 Scholarship - individual award</t>
  </si>
  <si>
    <t xml:space="preserve">   Total 7000 Grants &amp; direct assistance</t>
  </si>
  <si>
    <t xml:space="preserve">   7200 Salaries &amp; related expenses</t>
  </si>
  <si>
    <t xml:space="preserve">      7250 Payroll taxes, etc.</t>
  </si>
  <si>
    <t xml:space="preserve">   Total 7200 Salaries &amp; related expenses</t>
  </si>
  <si>
    <t xml:space="preserve">   7500 Contract service expenses</t>
  </si>
  <si>
    <t xml:space="preserve">      7520 Accounting fees</t>
  </si>
  <si>
    <t xml:space="preserve">      7525 Tax Preparation Fee</t>
  </si>
  <si>
    <t xml:space="preserve">      7526 Payroll Tax Preparation</t>
  </si>
  <si>
    <t xml:space="preserve">      7540 Professional fees - other</t>
  </si>
  <si>
    <t xml:space="preserve">      7550 Other Professional- contract</t>
  </si>
  <si>
    <t xml:space="preserve">   Total 7500 Contract service expenses</t>
  </si>
  <si>
    <t xml:space="preserve">   8000 Program related expenses</t>
  </si>
  <si>
    <t xml:space="preserve">      8005 Salaries&amp;Wages - Programs</t>
  </si>
  <si>
    <t xml:space="preserve">      8010 Transportation E/S M/S</t>
  </si>
  <si>
    <t xml:space="preserve">      8020 Climate Change (Habitat)</t>
  </si>
  <si>
    <t xml:space="preserve">      8030 Outreach</t>
  </si>
  <si>
    <t xml:space="preserve">      8035 Small Grants</t>
  </si>
  <si>
    <t xml:space="preserve">      8040 Trout in the classroom</t>
  </si>
  <si>
    <t xml:space="preserve">      8070 Family Wildlife Day</t>
  </si>
  <si>
    <t xml:space="preserve">      8075 Cooking Classes Expense</t>
  </si>
  <si>
    <t xml:space="preserve">      8077 NERF Forum</t>
  </si>
  <si>
    <t xml:space="preserve">      8079 Junior Ranger Program</t>
  </si>
  <si>
    <t xml:space="preserve">      8080 Other-Ambassadors</t>
  </si>
  <si>
    <t xml:space="preserve">   Total 8000 Program related expenses</t>
  </si>
  <si>
    <t xml:space="preserve">   8100 Program suppport  expenses</t>
  </si>
  <si>
    <t xml:space="preserve">      8105 Salaries&amp; Wages-Program Support</t>
  </si>
  <si>
    <t xml:space="preserve">      8110 Supplies</t>
  </si>
  <si>
    <t xml:space="preserve">      8120 Website services</t>
  </si>
  <si>
    <t xml:space="preserve">      8125 Annual Membership Mtg expense</t>
  </si>
  <si>
    <t xml:space="preserve">      8130 Telephone &amp; telecommunications</t>
  </si>
  <si>
    <t xml:space="preserve">      8140 Postage &amp; shipping</t>
  </si>
  <si>
    <t xml:space="preserve">      8150 Social Media/Newsletters</t>
  </si>
  <si>
    <t xml:space="preserve">      8170 Printing &amp; copying</t>
  </si>
  <si>
    <t xml:space="preserve">      8171 Member education</t>
  </si>
  <si>
    <t xml:space="preserve">      8180 Volunteer education</t>
  </si>
  <si>
    <t xml:space="preserve">      8181 Donor education</t>
  </si>
  <si>
    <t xml:space="preserve">      8190 Exec. Dir. mileage expense</t>
  </si>
  <si>
    <t xml:space="preserve">      8191 Chamber of Commerce expense</t>
  </si>
  <si>
    <t xml:space="preserve">      8195 Other expense</t>
  </si>
  <si>
    <t xml:space="preserve">   Total 8100 Program suppport  expenses</t>
  </si>
  <si>
    <t xml:space="preserve">   8200 Administrative expenses</t>
  </si>
  <si>
    <t xml:space="preserve">      8205 Salaries&amp;Wages-Administration</t>
  </si>
  <si>
    <t xml:space="preserve">      8221 Utilities</t>
  </si>
  <si>
    <t xml:space="preserve">      8225 Telephone expense</t>
  </si>
  <si>
    <t xml:space="preserve">      8226 Postage expense</t>
  </si>
  <si>
    <t xml:space="preserve">      8260 Equipment rental &amp; maintenance</t>
  </si>
  <si>
    <t xml:space="preserve">   Total 8200 Administrative expenses</t>
  </si>
  <si>
    <t xml:space="preserve">   8500 Administrative Other expenses</t>
  </si>
  <si>
    <t xml:space="preserve">      8515 Insurance - General Liab &amp; D&amp;O</t>
  </si>
  <si>
    <t xml:space="preserve">      8520 Insurance - Workers Comp</t>
  </si>
  <si>
    <t xml:space="preserve">      8530 Membership - organization</t>
  </si>
  <si>
    <t xml:space="preserve">      8540 Strategic plan development</t>
  </si>
  <si>
    <t xml:space="preserve">      8560 Outside computer services</t>
  </si>
  <si>
    <t xml:space="preserve">      8565 Office supplies</t>
  </si>
  <si>
    <t xml:space="preserve">      8570 Advertising expenses</t>
  </si>
  <si>
    <t xml:space="preserve">      8590 Other expenses</t>
  </si>
  <si>
    <t xml:space="preserve">   Total 8500 Administrative Other expenses</t>
  </si>
  <si>
    <t xml:space="preserve">   8600 Administrative Bus    expenses</t>
  </si>
  <si>
    <t xml:space="preserve">      8610 Bank fee-credit card</t>
  </si>
  <si>
    <t xml:space="preserve">      8611 Service Fee-Investments</t>
  </si>
  <si>
    <t xml:space="preserve">      8612 Service Fee-Invest 1083 Ellis</t>
  </si>
  <si>
    <t xml:space="preserve">      8650 Taxes - other</t>
  </si>
  <si>
    <t xml:space="preserve">   Total 8600 Administrative Bus    expenses</t>
  </si>
  <si>
    <t xml:space="preserve">   8700 Fund Raising Event expenses</t>
  </si>
  <si>
    <t xml:space="preserve">      8705 Salaries &amp; Wages - Fund Raising</t>
  </si>
  <si>
    <t xml:space="preserve">      8710 Supplies expense</t>
  </si>
  <si>
    <t xml:space="preserve">      8720 Rental expense</t>
  </si>
  <si>
    <t xml:space="preserve">      8721 Concert transportation</t>
  </si>
  <si>
    <t xml:space="preserve">      8730 Food</t>
  </si>
  <si>
    <t xml:space="preserve">      8740 Drinks</t>
  </si>
  <si>
    <t xml:space="preserve">      8745 Marketing</t>
  </si>
  <si>
    <t xml:space="preserve">      8750 Printing</t>
  </si>
  <si>
    <t xml:space="preserve">      8755 Advertising</t>
  </si>
  <si>
    <t xml:space="preserve">      8760 Signage</t>
  </si>
  <si>
    <t xml:space="preserve">      8780 Entertainment</t>
  </si>
  <si>
    <t xml:space="preserve">      8784 Logistics</t>
  </si>
  <si>
    <t xml:space="preserve">      8785 Merchant Fees</t>
  </si>
  <si>
    <t xml:space="preserve">      8790 Other</t>
  </si>
  <si>
    <t xml:space="preserve">      8791 Other - Salaries &amp; Wages</t>
  </si>
  <si>
    <t xml:space="preserve">      8792 TOH - Pop up dinner/Kodi Concert</t>
  </si>
  <si>
    <t xml:space="preserve">      8799 Miscellaneous-In/Out</t>
  </si>
  <si>
    <t xml:space="preserve">   Total 8700 Fund Raising Event expenses</t>
  </si>
  <si>
    <t>Total Expenses</t>
  </si>
  <si>
    <t>Net Operating Income</t>
  </si>
  <si>
    <t>Net Income</t>
  </si>
  <si>
    <t>Tuesday, May 07, 2024 07:50:03 AM GMT-7 - Cash Basis</t>
  </si>
  <si>
    <t>Santa Rosa Plateau Foundation</t>
  </si>
  <si>
    <t>Profit and Loss by Month</t>
  </si>
  <si>
    <t>July 2023 - April 2024</t>
  </si>
  <si>
    <t>Ellis non-operating</t>
  </si>
  <si>
    <t>Operating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</si>
</sst>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2" fillId="2" borderId="0" xfId="0" applyFont="1" applyFill="1" applyAlignment="1">
      <alignment horizontal="left" wrapText="1"/>
    </xf>
    <xf numFmtId="0" fontId="3" fillId="0" borderId="0" xfId="0" applyFont="1"/>
    <xf numFmtId="0" fontId="2" fillId="0" borderId="4" xfId="0" applyFont="1" applyBorder="1"/>
    <xf numFmtId="4" fontId="2" fillId="0" borderId="5" xfId="0" applyNumberFormat="1" applyFont="1" applyBorder="1"/>
    <xf numFmtId="164" fontId="3" fillId="0" borderId="6" xfId="0" applyNumberFormat="1" applyFont="1" applyBorder="1" applyAlignment="1">
      <alignment wrapText="1"/>
    </xf>
    <xf numFmtId="4" fontId="3" fillId="0" borderId="7" xfId="0" applyNumberFormat="1" applyFont="1" applyBorder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tabSelected="1" workbookViewId="0">
      <selection sqref="A1:L1"/>
    </sheetView>
  </sheetViews>
  <sheetFormatPr defaultRowHeight="15" x14ac:dyDescent="0.25"/>
  <cols>
    <col min="1" max="1" width="39.5703125" customWidth="1"/>
    <col min="2" max="2" width="10.28515625" customWidth="1"/>
    <col min="3" max="4" width="11.140625" customWidth="1"/>
    <col min="5" max="7" width="9.42578125" customWidth="1"/>
    <col min="8" max="8" width="10.28515625" customWidth="1"/>
    <col min="9" max="9" width="11.140625" customWidth="1"/>
    <col min="10" max="10" width="9.42578125" customWidth="1"/>
    <col min="11" max="11" width="11.140625" customWidth="1"/>
    <col min="12" max="12" width="10.28515625" customWidth="1"/>
  </cols>
  <sheetData>
    <row r="1" spans="1:12" ht="18" x14ac:dyDescent="0.25">
      <c r="A1" s="16" t="s">
        <v>140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8" x14ac:dyDescent="0.25">
      <c r="A2" s="16" t="s">
        <v>141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7" t="s">
        <v>142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1:12" x14ac:dyDescent="0.25">
      <c r="A6" s="3" t="s">
        <v>11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 t="s">
        <v>12</v>
      </c>
      <c r="B7" s="4"/>
      <c r="C7" s="4"/>
      <c r="D7" s="4"/>
      <c r="E7" s="4"/>
      <c r="F7" s="4"/>
      <c r="G7" s="4"/>
      <c r="H7" s="4"/>
      <c r="I7" s="4"/>
      <c r="J7" s="4"/>
      <c r="K7" s="4"/>
      <c r="L7" s="5">
        <f t="shared" ref="L7:L44" si="0">(((((((((B7)+(C7))+(D7))+(E7))+(F7))+(G7))+(H7))+(I7))+(J7))+(K7)</f>
        <v>0</v>
      </c>
    </row>
    <row r="8" spans="1:12" x14ac:dyDescent="0.25">
      <c r="A8" s="3" t="s">
        <v>13</v>
      </c>
      <c r="B8" s="5">
        <f>3302.98</f>
        <v>3302.98</v>
      </c>
      <c r="C8" s="5">
        <f>350</f>
        <v>350</v>
      </c>
      <c r="D8" s="5">
        <f>1350</f>
        <v>1350</v>
      </c>
      <c r="E8" s="4"/>
      <c r="F8" s="5">
        <f>257.6</f>
        <v>257.60000000000002</v>
      </c>
      <c r="G8" s="5">
        <f>3749.24</f>
        <v>3749.24</v>
      </c>
      <c r="H8" s="5">
        <f>5183.36</f>
        <v>5183.3599999999997</v>
      </c>
      <c r="I8" s="4"/>
      <c r="J8" s="5">
        <f>6485</f>
        <v>6485</v>
      </c>
      <c r="K8" s="5">
        <f>260</f>
        <v>260</v>
      </c>
      <c r="L8" s="5">
        <f t="shared" si="0"/>
        <v>20938.18</v>
      </c>
    </row>
    <row r="9" spans="1:12" x14ac:dyDescent="0.25">
      <c r="A9" s="3" t="s">
        <v>14</v>
      </c>
      <c r="B9" s="4"/>
      <c r="C9" s="5">
        <f>5120</f>
        <v>5120</v>
      </c>
      <c r="D9" s="4"/>
      <c r="E9" s="5">
        <f>1000</f>
        <v>1000</v>
      </c>
      <c r="F9" s="4"/>
      <c r="G9" s="4"/>
      <c r="H9" s="4"/>
      <c r="I9" s="4"/>
      <c r="J9" s="4"/>
      <c r="K9" s="5">
        <f>350</f>
        <v>350</v>
      </c>
      <c r="L9" s="5">
        <f t="shared" si="0"/>
        <v>6470</v>
      </c>
    </row>
    <row r="10" spans="1:12" x14ac:dyDescent="0.25">
      <c r="A10" s="3" t="s">
        <v>15</v>
      </c>
      <c r="B10" s="6">
        <f t="shared" ref="B10:K10" si="1">((B7)+(B8))+(B9)</f>
        <v>3302.98</v>
      </c>
      <c r="C10" s="6">
        <f t="shared" si="1"/>
        <v>5470</v>
      </c>
      <c r="D10" s="6">
        <f t="shared" si="1"/>
        <v>1350</v>
      </c>
      <c r="E10" s="6">
        <f t="shared" si="1"/>
        <v>1000</v>
      </c>
      <c r="F10" s="6">
        <f t="shared" si="1"/>
        <v>257.60000000000002</v>
      </c>
      <c r="G10" s="6">
        <f t="shared" si="1"/>
        <v>3749.24</v>
      </c>
      <c r="H10" s="6">
        <f t="shared" si="1"/>
        <v>5183.3599999999997</v>
      </c>
      <c r="I10" s="6">
        <f t="shared" si="1"/>
        <v>0</v>
      </c>
      <c r="J10" s="6">
        <f t="shared" si="1"/>
        <v>6485</v>
      </c>
      <c r="K10" s="6">
        <f t="shared" si="1"/>
        <v>610</v>
      </c>
      <c r="L10" s="6">
        <f t="shared" si="0"/>
        <v>27408.18</v>
      </c>
    </row>
    <row r="11" spans="1:12" x14ac:dyDescent="0.25">
      <c r="A11" s="3" t="s">
        <v>16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5">
        <f t="shared" si="0"/>
        <v>0</v>
      </c>
    </row>
    <row r="12" spans="1:12" x14ac:dyDescent="0.25">
      <c r="A12" s="3" t="s">
        <v>17</v>
      </c>
      <c r="B12" s="4"/>
      <c r="C12" s="5">
        <f>5000</f>
        <v>5000</v>
      </c>
      <c r="D12" s="4"/>
      <c r="E12" s="4"/>
      <c r="F12" s="4"/>
      <c r="G12" s="4"/>
      <c r="H12" s="4"/>
      <c r="I12" s="4"/>
      <c r="J12" s="5">
        <f>2500</f>
        <v>2500</v>
      </c>
      <c r="K12" s="4"/>
      <c r="L12" s="5">
        <f t="shared" si="0"/>
        <v>7500</v>
      </c>
    </row>
    <row r="13" spans="1:12" x14ac:dyDescent="0.25">
      <c r="A13" s="3" t="s">
        <v>18</v>
      </c>
      <c r="B13" s="4"/>
      <c r="C13" s="4"/>
      <c r="D13" s="4"/>
      <c r="E13" s="5">
        <f>15000</f>
        <v>15000</v>
      </c>
      <c r="F13" s="4"/>
      <c r="G13" s="4"/>
      <c r="H13" s="4"/>
      <c r="I13" s="4"/>
      <c r="J13" s="4"/>
      <c r="K13" s="4"/>
      <c r="L13" s="5">
        <f t="shared" si="0"/>
        <v>15000</v>
      </c>
    </row>
    <row r="14" spans="1:12" x14ac:dyDescent="0.25">
      <c r="A14" s="3" t="s">
        <v>19</v>
      </c>
      <c r="B14" s="6">
        <f t="shared" ref="B14:K14" si="2">((B11)+(B12))+(B13)</f>
        <v>0</v>
      </c>
      <c r="C14" s="6">
        <f t="shared" si="2"/>
        <v>5000</v>
      </c>
      <c r="D14" s="6">
        <f t="shared" si="2"/>
        <v>0</v>
      </c>
      <c r="E14" s="6">
        <f t="shared" si="2"/>
        <v>15000</v>
      </c>
      <c r="F14" s="6">
        <f t="shared" si="2"/>
        <v>0</v>
      </c>
      <c r="G14" s="6">
        <f t="shared" si="2"/>
        <v>0</v>
      </c>
      <c r="H14" s="6">
        <f t="shared" si="2"/>
        <v>0</v>
      </c>
      <c r="I14" s="6">
        <f t="shared" si="2"/>
        <v>0</v>
      </c>
      <c r="J14" s="6">
        <f t="shared" si="2"/>
        <v>2500</v>
      </c>
      <c r="K14" s="6">
        <f t="shared" si="2"/>
        <v>0</v>
      </c>
      <c r="L14" s="6">
        <f t="shared" si="0"/>
        <v>22500</v>
      </c>
    </row>
    <row r="15" spans="1:12" x14ac:dyDescent="0.25">
      <c r="A15" s="3" t="s">
        <v>20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5">
        <f t="shared" si="0"/>
        <v>0</v>
      </c>
    </row>
    <row r="16" spans="1:12" x14ac:dyDescent="0.25">
      <c r="A16" s="3" t="s">
        <v>21</v>
      </c>
      <c r="B16" s="5">
        <f>65738.22</f>
        <v>65738.22</v>
      </c>
      <c r="C16" s="4"/>
      <c r="D16" s="4"/>
      <c r="E16" s="4"/>
      <c r="F16" s="4"/>
      <c r="G16" s="4"/>
      <c r="H16" s="4"/>
      <c r="I16" s="4"/>
      <c r="J16" s="4"/>
      <c r="K16" s="4"/>
      <c r="L16" s="5">
        <f t="shared" si="0"/>
        <v>65738.22</v>
      </c>
    </row>
    <row r="17" spans="1:12" x14ac:dyDescent="0.25">
      <c r="A17" s="3" t="s">
        <v>22</v>
      </c>
      <c r="B17" s="6">
        <f t="shared" ref="B17:K17" si="3">(B15)+(B16)</f>
        <v>65738.22</v>
      </c>
      <c r="C17" s="6">
        <f t="shared" si="3"/>
        <v>0</v>
      </c>
      <c r="D17" s="6">
        <f t="shared" si="3"/>
        <v>0</v>
      </c>
      <c r="E17" s="6">
        <f t="shared" si="3"/>
        <v>0</v>
      </c>
      <c r="F17" s="6">
        <f t="shared" si="3"/>
        <v>0</v>
      </c>
      <c r="G17" s="6">
        <f t="shared" si="3"/>
        <v>0</v>
      </c>
      <c r="H17" s="6">
        <f t="shared" si="3"/>
        <v>0</v>
      </c>
      <c r="I17" s="6">
        <f t="shared" si="3"/>
        <v>0</v>
      </c>
      <c r="J17" s="6">
        <f t="shared" si="3"/>
        <v>0</v>
      </c>
      <c r="K17" s="6">
        <f t="shared" si="3"/>
        <v>0</v>
      </c>
      <c r="L17" s="6">
        <f t="shared" si="0"/>
        <v>65738.22</v>
      </c>
    </row>
    <row r="18" spans="1:12" x14ac:dyDescent="0.25">
      <c r="A18" s="3" t="s">
        <v>23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5">
        <f t="shared" si="0"/>
        <v>0</v>
      </c>
    </row>
    <row r="19" spans="1:12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5">
        <f>581.01</f>
        <v>581.01</v>
      </c>
      <c r="J19" s="4"/>
      <c r="K19" s="4"/>
      <c r="L19" s="5">
        <f t="shared" si="0"/>
        <v>581.01</v>
      </c>
    </row>
    <row r="20" spans="1:12" x14ac:dyDescent="0.25">
      <c r="A20" s="3" t="s">
        <v>25</v>
      </c>
      <c r="B20" s="4"/>
      <c r="C20" s="4"/>
      <c r="D20" s="4"/>
      <c r="E20" s="5">
        <f>627.39</f>
        <v>627.39</v>
      </c>
      <c r="F20" s="5">
        <f>2098.61</f>
        <v>2098.61</v>
      </c>
      <c r="G20" s="4"/>
      <c r="H20" s="4"/>
      <c r="I20" s="4"/>
      <c r="J20" s="5">
        <f>548</f>
        <v>548</v>
      </c>
      <c r="K20" s="4"/>
      <c r="L20" s="5">
        <f t="shared" si="0"/>
        <v>3274</v>
      </c>
    </row>
    <row r="21" spans="1:12" x14ac:dyDescent="0.25">
      <c r="A21" s="3" t="s">
        <v>26</v>
      </c>
      <c r="B21" s="6">
        <f t="shared" ref="B21:K21" si="4">((B18)+(B19))+(B20)</f>
        <v>0</v>
      </c>
      <c r="C21" s="6">
        <f t="shared" si="4"/>
        <v>0</v>
      </c>
      <c r="D21" s="6">
        <f t="shared" si="4"/>
        <v>0</v>
      </c>
      <c r="E21" s="6">
        <f t="shared" si="4"/>
        <v>627.39</v>
      </c>
      <c r="F21" s="6">
        <f t="shared" si="4"/>
        <v>2098.61</v>
      </c>
      <c r="G21" s="6">
        <f t="shared" si="4"/>
        <v>0</v>
      </c>
      <c r="H21" s="6">
        <f t="shared" si="4"/>
        <v>0</v>
      </c>
      <c r="I21" s="6">
        <f t="shared" si="4"/>
        <v>581.01</v>
      </c>
      <c r="J21" s="6">
        <f t="shared" si="4"/>
        <v>548</v>
      </c>
      <c r="K21" s="6">
        <f t="shared" si="4"/>
        <v>0</v>
      </c>
      <c r="L21" s="6">
        <f t="shared" si="0"/>
        <v>3855.01</v>
      </c>
    </row>
    <row r="22" spans="1:12" x14ac:dyDescent="0.25">
      <c r="A22" s="3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5">
        <f t="shared" si="0"/>
        <v>0</v>
      </c>
    </row>
    <row r="23" spans="1:12" x14ac:dyDescent="0.25">
      <c r="A23" s="3" t="s">
        <v>28</v>
      </c>
      <c r="B23" s="5">
        <f>4380</f>
        <v>4380</v>
      </c>
      <c r="C23" s="5">
        <f>1975</f>
        <v>1975</v>
      </c>
      <c r="D23" s="5">
        <f>3315</f>
        <v>3315</v>
      </c>
      <c r="E23" s="5">
        <f>3300</f>
        <v>3300</v>
      </c>
      <c r="F23" s="5">
        <f>3745</f>
        <v>3745</v>
      </c>
      <c r="G23" s="5">
        <f>6375</f>
        <v>6375</v>
      </c>
      <c r="H23" s="5">
        <f>6990</f>
        <v>6990</v>
      </c>
      <c r="I23" s="5">
        <f>4718</f>
        <v>4718</v>
      </c>
      <c r="J23" s="5">
        <f>5245</f>
        <v>5245</v>
      </c>
      <c r="K23" s="5">
        <f>5430</f>
        <v>5430</v>
      </c>
      <c r="L23" s="5">
        <f t="shared" si="0"/>
        <v>45473</v>
      </c>
    </row>
    <row r="24" spans="1:12" x14ac:dyDescent="0.25">
      <c r="A24" s="3" t="s">
        <v>29</v>
      </c>
      <c r="B24" s="4"/>
      <c r="C24" s="4"/>
      <c r="D24" s="4"/>
      <c r="E24" s="4"/>
      <c r="F24" s="5">
        <f>2000</f>
        <v>2000</v>
      </c>
      <c r="G24" s="4"/>
      <c r="H24" s="4"/>
      <c r="I24" s="4"/>
      <c r="J24" s="4"/>
      <c r="K24" s="4"/>
      <c r="L24" s="5">
        <f t="shared" si="0"/>
        <v>2000</v>
      </c>
    </row>
    <row r="25" spans="1:12" x14ac:dyDescent="0.25">
      <c r="A25" s="3" t="s">
        <v>30</v>
      </c>
      <c r="B25" s="6">
        <f t="shared" ref="B25:K25" si="5">((B22)+(B23))+(B24)</f>
        <v>4380</v>
      </c>
      <c r="C25" s="6">
        <f t="shared" si="5"/>
        <v>1975</v>
      </c>
      <c r="D25" s="6">
        <f t="shared" si="5"/>
        <v>3315</v>
      </c>
      <c r="E25" s="6">
        <f t="shared" si="5"/>
        <v>3300</v>
      </c>
      <c r="F25" s="6">
        <f t="shared" si="5"/>
        <v>5745</v>
      </c>
      <c r="G25" s="6">
        <f t="shared" si="5"/>
        <v>6375</v>
      </c>
      <c r="H25" s="6">
        <f t="shared" si="5"/>
        <v>6990</v>
      </c>
      <c r="I25" s="6">
        <f t="shared" si="5"/>
        <v>4718</v>
      </c>
      <c r="J25" s="6">
        <f t="shared" si="5"/>
        <v>5245</v>
      </c>
      <c r="K25" s="6">
        <f t="shared" si="5"/>
        <v>5430</v>
      </c>
      <c r="L25" s="6">
        <f t="shared" si="0"/>
        <v>47473</v>
      </c>
    </row>
    <row r="26" spans="1:12" x14ac:dyDescent="0.25">
      <c r="A26" s="3" t="s">
        <v>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5">
        <f t="shared" si="0"/>
        <v>0</v>
      </c>
    </row>
    <row r="27" spans="1:12" x14ac:dyDescent="0.25">
      <c r="A27" s="3" t="s">
        <v>32</v>
      </c>
      <c r="B27" s="5">
        <f>49.02</f>
        <v>49.02</v>
      </c>
      <c r="C27" s="5">
        <f>18.14</f>
        <v>18.14</v>
      </c>
      <c r="D27" s="5">
        <f>84.18</f>
        <v>84.18</v>
      </c>
      <c r="E27" s="5">
        <f>31.94</f>
        <v>31.94</v>
      </c>
      <c r="F27" s="5">
        <f>14.68</f>
        <v>14.68</v>
      </c>
      <c r="G27" s="5">
        <f>227.7</f>
        <v>227.7</v>
      </c>
      <c r="H27" s="4"/>
      <c r="I27" s="4"/>
      <c r="J27" s="5">
        <f>130.25</f>
        <v>130.25</v>
      </c>
      <c r="K27" s="4"/>
      <c r="L27" s="5">
        <f t="shared" si="0"/>
        <v>555.91</v>
      </c>
    </row>
    <row r="28" spans="1:12" x14ac:dyDescent="0.25">
      <c r="A28" s="8" t="s">
        <v>33</v>
      </c>
      <c r="B28" s="5">
        <f>604.47</f>
        <v>604.47</v>
      </c>
      <c r="C28" s="5">
        <f>264.11</f>
        <v>264.11</v>
      </c>
      <c r="D28" s="5">
        <f>1551.95</f>
        <v>1551.95</v>
      </c>
      <c r="E28" s="5">
        <f>609.7</f>
        <v>609.70000000000005</v>
      </c>
      <c r="F28" s="5">
        <f>280.07</f>
        <v>280.07</v>
      </c>
      <c r="G28" s="5">
        <f>4525.5</f>
        <v>4525.5</v>
      </c>
      <c r="H28" s="4"/>
      <c r="I28" s="4"/>
      <c r="J28" s="5">
        <f>2486.18</f>
        <v>2486.1799999999998</v>
      </c>
      <c r="K28" s="4"/>
      <c r="L28" s="5">
        <f t="shared" si="0"/>
        <v>10321.980000000001</v>
      </c>
    </row>
    <row r="29" spans="1:12" x14ac:dyDescent="0.25">
      <c r="A29" s="3" t="s">
        <v>34</v>
      </c>
      <c r="B29" s="4"/>
      <c r="C29" s="4"/>
      <c r="D29" s="4"/>
      <c r="E29" s="5">
        <f>2.48</f>
        <v>2.48</v>
      </c>
      <c r="F29" s="5">
        <f>1.33</f>
        <v>1.33</v>
      </c>
      <c r="G29" s="5">
        <f>3.35</f>
        <v>3.35</v>
      </c>
      <c r="H29" s="5">
        <f>4.28</f>
        <v>4.28</v>
      </c>
      <c r="I29" s="5">
        <f>3.47</f>
        <v>3.47</v>
      </c>
      <c r="J29" s="5">
        <f>2.87</f>
        <v>2.87</v>
      </c>
      <c r="K29" s="5">
        <f>2.48</f>
        <v>2.48</v>
      </c>
      <c r="L29" s="5">
        <f t="shared" si="0"/>
        <v>20.260000000000002</v>
      </c>
    </row>
    <row r="30" spans="1:12" x14ac:dyDescent="0.25">
      <c r="A30" s="3" t="s">
        <v>35</v>
      </c>
      <c r="B30" s="5">
        <f>803.18</f>
        <v>803.18</v>
      </c>
      <c r="C30" s="5">
        <f>-592.32</f>
        <v>-592.32000000000005</v>
      </c>
      <c r="D30" s="5">
        <f>-1105.37</f>
        <v>-1105.3699999999999</v>
      </c>
      <c r="E30" s="5">
        <f>-686.27</f>
        <v>-686.27</v>
      </c>
      <c r="F30" s="5">
        <f>1935.84</f>
        <v>1935.84</v>
      </c>
      <c r="G30" s="5">
        <f>1112.99</f>
        <v>1112.99</v>
      </c>
      <c r="H30" s="4"/>
      <c r="I30" s="4"/>
      <c r="J30" s="5">
        <f>1344.18</f>
        <v>1344.18</v>
      </c>
      <c r="K30" s="4"/>
      <c r="L30" s="5">
        <f t="shared" si="0"/>
        <v>2812.23</v>
      </c>
    </row>
    <row r="31" spans="1:12" x14ac:dyDescent="0.25">
      <c r="A31" s="8" t="s">
        <v>36</v>
      </c>
      <c r="B31" s="5">
        <f>15327.63</f>
        <v>15327.63</v>
      </c>
      <c r="C31" s="5">
        <f>-11302.59</f>
        <v>-11302.59</v>
      </c>
      <c r="D31" s="5">
        <f>-21093.93</f>
        <v>-21093.93</v>
      </c>
      <c r="E31" s="5">
        <f>-13096.88</f>
        <v>-13096.88</v>
      </c>
      <c r="F31" s="5">
        <f>36942.68</f>
        <v>36942.68</v>
      </c>
      <c r="G31" s="5">
        <f>21239.43</f>
        <v>21239.43</v>
      </c>
      <c r="H31" s="4"/>
      <c r="I31" s="4"/>
      <c r="J31" s="5">
        <f>25651.32</f>
        <v>25651.32</v>
      </c>
      <c r="K31" s="4"/>
      <c r="L31" s="5">
        <f t="shared" si="0"/>
        <v>53667.66</v>
      </c>
    </row>
    <row r="32" spans="1:12" x14ac:dyDescent="0.25">
      <c r="A32" s="3" t="s">
        <v>37</v>
      </c>
      <c r="B32" s="6">
        <f t="shared" ref="B32:K32" si="6">(((((B26)+(B27))+(B28))+(B29))+(B30))+(B31)</f>
        <v>16784.3</v>
      </c>
      <c r="C32" s="6">
        <f t="shared" si="6"/>
        <v>-11612.66</v>
      </c>
      <c r="D32" s="6">
        <f t="shared" si="6"/>
        <v>-20563.169999999998</v>
      </c>
      <c r="E32" s="6">
        <f t="shared" si="6"/>
        <v>-13139.029999999999</v>
      </c>
      <c r="F32" s="6">
        <f t="shared" si="6"/>
        <v>39174.6</v>
      </c>
      <c r="G32" s="6">
        <f t="shared" si="6"/>
        <v>27108.97</v>
      </c>
      <c r="H32" s="6">
        <f t="shared" si="6"/>
        <v>4.28</v>
      </c>
      <c r="I32" s="6">
        <f t="shared" si="6"/>
        <v>3.47</v>
      </c>
      <c r="J32" s="6">
        <f t="shared" si="6"/>
        <v>29614.799999999999</v>
      </c>
      <c r="K32" s="6">
        <f t="shared" si="6"/>
        <v>2.48</v>
      </c>
      <c r="L32" s="6">
        <f t="shared" si="0"/>
        <v>67378.039999999994</v>
      </c>
    </row>
    <row r="33" spans="1:12" x14ac:dyDescent="0.25">
      <c r="A33" s="3" t="s">
        <v>38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5">
        <f t="shared" si="0"/>
        <v>0</v>
      </c>
    </row>
    <row r="34" spans="1:12" x14ac:dyDescent="0.25">
      <c r="A34" s="3" t="s">
        <v>39</v>
      </c>
      <c r="B34" s="4"/>
      <c r="C34" s="4"/>
      <c r="D34" s="4"/>
      <c r="E34" s="4"/>
      <c r="F34" s="4"/>
      <c r="G34" s="5">
        <f>2100</f>
        <v>2100</v>
      </c>
      <c r="H34" s="4"/>
      <c r="I34" s="4"/>
      <c r="J34" s="5">
        <f>1000</f>
        <v>1000</v>
      </c>
      <c r="K34" s="4"/>
      <c r="L34" s="5">
        <f t="shared" si="0"/>
        <v>3100</v>
      </c>
    </row>
    <row r="35" spans="1:12" x14ac:dyDescent="0.25">
      <c r="A35" s="3" t="s">
        <v>40</v>
      </c>
      <c r="B35" s="6">
        <f t="shared" ref="B35:K35" si="7">(B33)+(B34)</f>
        <v>0</v>
      </c>
      <c r="C35" s="6">
        <f t="shared" si="7"/>
        <v>0</v>
      </c>
      <c r="D35" s="6">
        <f t="shared" si="7"/>
        <v>0</v>
      </c>
      <c r="E35" s="6">
        <f t="shared" si="7"/>
        <v>0</v>
      </c>
      <c r="F35" s="6">
        <f t="shared" si="7"/>
        <v>0</v>
      </c>
      <c r="G35" s="6">
        <f t="shared" si="7"/>
        <v>2100</v>
      </c>
      <c r="H35" s="6">
        <f t="shared" si="7"/>
        <v>0</v>
      </c>
      <c r="I35" s="6">
        <f t="shared" si="7"/>
        <v>0</v>
      </c>
      <c r="J35" s="6">
        <f t="shared" si="7"/>
        <v>1000</v>
      </c>
      <c r="K35" s="6">
        <f t="shared" si="7"/>
        <v>0</v>
      </c>
      <c r="L35" s="6">
        <f t="shared" si="0"/>
        <v>3100</v>
      </c>
    </row>
    <row r="36" spans="1:12" x14ac:dyDescent="0.25">
      <c r="A36" s="3" t="s">
        <v>41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5">
        <f t="shared" si="0"/>
        <v>0</v>
      </c>
    </row>
    <row r="37" spans="1:12" x14ac:dyDescent="0.25">
      <c r="A37" s="3" t="s">
        <v>42</v>
      </c>
      <c r="B37" s="5">
        <f>0.79</f>
        <v>0.79</v>
      </c>
      <c r="C37" s="4"/>
      <c r="D37" s="5">
        <f>1919.87</f>
        <v>1919.87</v>
      </c>
      <c r="E37" s="5">
        <f>2310.84</f>
        <v>2310.84</v>
      </c>
      <c r="F37" s="4"/>
      <c r="G37" s="4"/>
      <c r="H37" s="4"/>
      <c r="I37" s="4"/>
      <c r="J37" s="4"/>
      <c r="K37" s="4"/>
      <c r="L37" s="5">
        <f t="shared" si="0"/>
        <v>4231.5</v>
      </c>
    </row>
    <row r="38" spans="1:12" x14ac:dyDescent="0.25">
      <c r="A38" s="3" t="s">
        <v>43</v>
      </c>
      <c r="B38" s="4"/>
      <c r="C38" s="4"/>
      <c r="D38" s="4"/>
      <c r="E38" s="4"/>
      <c r="F38" s="4"/>
      <c r="G38" s="4"/>
      <c r="H38" s="4"/>
      <c r="I38" s="4"/>
      <c r="J38" s="4"/>
      <c r="K38" s="5">
        <f>1494.01</f>
        <v>1494.01</v>
      </c>
      <c r="L38" s="5">
        <f t="shared" si="0"/>
        <v>1494.01</v>
      </c>
    </row>
    <row r="39" spans="1:12" x14ac:dyDescent="0.25">
      <c r="A39" s="3" t="s">
        <v>44</v>
      </c>
      <c r="B39" s="5">
        <f>53141.85</f>
        <v>53141.85</v>
      </c>
      <c r="C39" s="5">
        <f>26167.08</f>
        <v>26167.08</v>
      </c>
      <c r="D39" s="5">
        <f>6625</f>
        <v>6625</v>
      </c>
      <c r="E39" s="4"/>
      <c r="F39" s="4"/>
      <c r="G39" s="5">
        <f>2500</f>
        <v>2500</v>
      </c>
      <c r="H39" s="4"/>
      <c r="I39" s="4"/>
      <c r="J39" s="4"/>
      <c r="K39" s="5">
        <f>1250</f>
        <v>1250</v>
      </c>
      <c r="L39" s="5">
        <f t="shared" si="0"/>
        <v>89683.93</v>
      </c>
    </row>
    <row r="40" spans="1:12" x14ac:dyDescent="0.25">
      <c r="A40" s="3" t="s">
        <v>45</v>
      </c>
      <c r="B40" s="5">
        <f>2174.18</f>
        <v>2174.1799999999998</v>
      </c>
      <c r="C40" s="5">
        <f>2773.43</f>
        <v>2773.43</v>
      </c>
      <c r="D40" s="5">
        <f>9351.1</f>
        <v>9351.1</v>
      </c>
      <c r="E40" s="5">
        <f>29597.79</f>
        <v>29597.79</v>
      </c>
      <c r="F40" s="4"/>
      <c r="G40" s="4"/>
      <c r="H40" s="5">
        <f>-135.59</f>
        <v>-135.59</v>
      </c>
      <c r="I40" s="4"/>
      <c r="J40" s="4"/>
      <c r="K40" s="5">
        <f>1000</f>
        <v>1000</v>
      </c>
      <c r="L40" s="5">
        <f t="shared" si="0"/>
        <v>44760.91</v>
      </c>
    </row>
    <row r="41" spans="1:12" x14ac:dyDescent="0.25">
      <c r="A41" s="3" t="s">
        <v>46</v>
      </c>
      <c r="B41" s="4"/>
      <c r="C41" s="4"/>
      <c r="D41" s="4"/>
      <c r="E41" s="5">
        <f>272.32</f>
        <v>272.32</v>
      </c>
      <c r="F41" s="5">
        <f>1137.69</f>
        <v>1137.69</v>
      </c>
      <c r="G41" s="4"/>
      <c r="H41" s="4"/>
      <c r="I41" s="4"/>
      <c r="J41" s="4"/>
      <c r="K41" s="4"/>
      <c r="L41" s="5">
        <f t="shared" si="0"/>
        <v>1410.01</v>
      </c>
    </row>
    <row r="42" spans="1:12" x14ac:dyDescent="0.25">
      <c r="A42" s="3" t="s">
        <v>47</v>
      </c>
      <c r="B42" s="6">
        <f t="shared" ref="B42:K42" si="8">(((((B36)+(B37))+(B38))+(B39))+(B40))+(B41)</f>
        <v>55316.82</v>
      </c>
      <c r="C42" s="6">
        <f t="shared" si="8"/>
        <v>28940.510000000002</v>
      </c>
      <c r="D42" s="6">
        <f t="shared" si="8"/>
        <v>17895.97</v>
      </c>
      <c r="E42" s="6">
        <f t="shared" si="8"/>
        <v>32180.95</v>
      </c>
      <c r="F42" s="6">
        <f t="shared" si="8"/>
        <v>1137.69</v>
      </c>
      <c r="G42" s="6">
        <f t="shared" si="8"/>
        <v>2500</v>
      </c>
      <c r="H42" s="6">
        <f t="shared" si="8"/>
        <v>-135.59</v>
      </c>
      <c r="I42" s="6">
        <f t="shared" si="8"/>
        <v>0</v>
      </c>
      <c r="J42" s="6">
        <f t="shared" si="8"/>
        <v>0</v>
      </c>
      <c r="K42" s="6">
        <f t="shared" si="8"/>
        <v>3744.01</v>
      </c>
      <c r="L42" s="6">
        <f t="shared" si="0"/>
        <v>141580.36000000002</v>
      </c>
    </row>
    <row r="43" spans="1:12" x14ac:dyDescent="0.25">
      <c r="A43" s="3" t="s">
        <v>48</v>
      </c>
      <c r="B43" s="6">
        <f t="shared" ref="B43:K43" si="9">(((((((B10)+(B14))+(B17))+(B21))+(B25))+(B32))+(B35))+(B42)</f>
        <v>145522.32</v>
      </c>
      <c r="C43" s="6">
        <f t="shared" si="9"/>
        <v>29772.850000000002</v>
      </c>
      <c r="D43" s="6">
        <f t="shared" si="9"/>
        <v>1997.8000000000029</v>
      </c>
      <c r="E43" s="6">
        <f t="shared" si="9"/>
        <v>38969.31</v>
      </c>
      <c r="F43" s="6">
        <f t="shared" si="9"/>
        <v>48413.5</v>
      </c>
      <c r="G43" s="6">
        <f t="shared" si="9"/>
        <v>41833.21</v>
      </c>
      <c r="H43" s="6">
        <f t="shared" si="9"/>
        <v>12042.050000000001</v>
      </c>
      <c r="I43" s="6">
        <f t="shared" si="9"/>
        <v>5302.4800000000005</v>
      </c>
      <c r="J43" s="6">
        <f t="shared" si="9"/>
        <v>45392.800000000003</v>
      </c>
      <c r="K43" s="6">
        <f t="shared" si="9"/>
        <v>9786.49</v>
      </c>
      <c r="L43" s="6">
        <f t="shared" si="0"/>
        <v>379032.81</v>
      </c>
    </row>
    <row r="44" spans="1:12" x14ac:dyDescent="0.25">
      <c r="A44" s="3" t="s">
        <v>49</v>
      </c>
      <c r="B44" s="6">
        <f t="shared" ref="B44:K44" si="10">(B43)-(0)</f>
        <v>145522.32</v>
      </c>
      <c r="C44" s="6">
        <f t="shared" si="10"/>
        <v>29772.850000000002</v>
      </c>
      <c r="D44" s="6">
        <f t="shared" si="10"/>
        <v>1997.8000000000029</v>
      </c>
      <c r="E44" s="6">
        <f t="shared" si="10"/>
        <v>38969.31</v>
      </c>
      <c r="F44" s="6">
        <f t="shared" si="10"/>
        <v>48413.5</v>
      </c>
      <c r="G44" s="6">
        <f t="shared" si="10"/>
        <v>41833.21</v>
      </c>
      <c r="H44" s="6">
        <f t="shared" si="10"/>
        <v>12042.050000000001</v>
      </c>
      <c r="I44" s="6">
        <f t="shared" si="10"/>
        <v>5302.4800000000005</v>
      </c>
      <c r="J44" s="6">
        <f t="shared" si="10"/>
        <v>45392.800000000003</v>
      </c>
      <c r="K44" s="6">
        <f t="shared" si="10"/>
        <v>9786.49</v>
      </c>
      <c r="L44" s="6">
        <f t="shared" si="0"/>
        <v>379032.81</v>
      </c>
    </row>
    <row r="45" spans="1:12" x14ac:dyDescent="0.25">
      <c r="A45" s="3" t="s">
        <v>50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3" t="s">
        <v>51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5">
        <f t="shared" ref="L46:L77" si="11">(((((((((B46)+(C46))+(D46))+(E46))+(F46))+(G46))+(H46))+(I46))+(J46))+(K46)</f>
        <v>0</v>
      </c>
    </row>
    <row r="47" spans="1:12" x14ac:dyDescent="0.25">
      <c r="A47" s="3" t="s">
        <v>52</v>
      </c>
      <c r="B47" s="4"/>
      <c r="C47" s="4"/>
      <c r="D47" s="4"/>
      <c r="E47" s="4"/>
      <c r="F47" s="4"/>
      <c r="G47" s="4"/>
      <c r="H47" s="5">
        <f>99</f>
        <v>99</v>
      </c>
      <c r="I47" s="4"/>
      <c r="J47" s="4"/>
      <c r="K47" s="4"/>
      <c r="L47" s="5">
        <f t="shared" si="11"/>
        <v>99</v>
      </c>
    </row>
    <row r="48" spans="1:12" x14ac:dyDescent="0.25">
      <c r="A48" s="3" t="s">
        <v>53</v>
      </c>
      <c r="B48" s="4"/>
      <c r="C48" s="4"/>
      <c r="D48" s="4"/>
      <c r="E48" s="4"/>
      <c r="F48" s="4"/>
      <c r="G48" s="4"/>
      <c r="H48" s="4"/>
      <c r="I48" s="4"/>
      <c r="J48" s="4"/>
      <c r="K48" s="5">
        <f>5000</f>
        <v>5000</v>
      </c>
      <c r="L48" s="5">
        <f t="shared" si="11"/>
        <v>5000</v>
      </c>
    </row>
    <row r="49" spans="1:12" x14ac:dyDescent="0.25">
      <c r="A49" s="3" t="s">
        <v>54</v>
      </c>
      <c r="B49" s="6">
        <f t="shared" ref="B49:K49" si="12">((B46)+(B47))+(B48)</f>
        <v>0</v>
      </c>
      <c r="C49" s="6">
        <f t="shared" si="12"/>
        <v>0</v>
      </c>
      <c r="D49" s="6">
        <f t="shared" si="12"/>
        <v>0</v>
      </c>
      <c r="E49" s="6">
        <f t="shared" si="12"/>
        <v>0</v>
      </c>
      <c r="F49" s="6">
        <f t="shared" si="12"/>
        <v>0</v>
      </c>
      <c r="G49" s="6">
        <f t="shared" si="12"/>
        <v>0</v>
      </c>
      <c r="H49" s="6">
        <f t="shared" si="12"/>
        <v>99</v>
      </c>
      <c r="I49" s="6">
        <f t="shared" si="12"/>
        <v>0</v>
      </c>
      <c r="J49" s="6">
        <f t="shared" si="12"/>
        <v>0</v>
      </c>
      <c r="K49" s="6">
        <f t="shared" si="12"/>
        <v>5000</v>
      </c>
      <c r="L49" s="6">
        <f t="shared" si="11"/>
        <v>5099</v>
      </c>
    </row>
    <row r="50" spans="1:12" x14ac:dyDescent="0.25">
      <c r="A50" s="3" t="s">
        <v>55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5">
        <f t="shared" si="11"/>
        <v>0</v>
      </c>
    </row>
    <row r="51" spans="1:12" x14ac:dyDescent="0.25">
      <c r="A51" s="3" t="s">
        <v>56</v>
      </c>
      <c r="B51" s="5">
        <f>827.47</f>
        <v>827.47</v>
      </c>
      <c r="C51" s="5">
        <f>918.77</f>
        <v>918.77</v>
      </c>
      <c r="D51" s="5">
        <f>912.64</f>
        <v>912.64</v>
      </c>
      <c r="E51" s="5">
        <f>926.73</f>
        <v>926.73</v>
      </c>
      <c r="F51" s="5">
        <f>952.8</f>
        <v>952.8</v>
      </c>
      <c r="G51" s="5">
        <f>982.82</f>
        <v>982.82</v>
      </c>
      <c r="H51" s="5">
        <f>1044.59</f>
        <v>1044.5899999999999</v>
      </c>
      <c r="I51" s="5">
        <f>1024.55</f>
        <v>1024.55</v>
      </c>
      <c r="J51" s="5">
        <f>931.66</f>
        <v>931.66</v>
      </c>
      <c r="K51" s="5">
        <f>897.7</f>
        <v>897.7</v>
      </c>
      <c r="L51" s="5">
        <f t="shared" si="11"/>
        <v>9419.7300000000014</v>
      </c>
    </row>
    <row r="52" spans="1:12" x14ac:dyDescent="0.25">
      <c r="A52" s="3" t="s">
        <v>57</v>
      </c>
      <c r="B52" s="6">
        <f t="shared" ref="B52:K52" si="13">(B50)+(B51)</f>
        <v>827.47</v>
      </c>
      <c r="C52" s="6">
        <f t="shared" si="13"/>
        <v>918.77</v>
      </c>
      <c r="D52" s="6">
        <f t="shared" si="13"/>
        <v>912.64</v>
      </c>
      <c r="E52" s="6">
        <f t="shared" si="13"/>
        <v>926.73</v>
      </c>
      <c r="F52" s="6">
        <f t="shared" si="13"/>
        <v>952.8</v>
      </c>
      <c r="G52" s="6">
        <f t="shared" si="13"/>
        <v>982.82</v>
      </c>
      <c r="H52" s="6">
        <f t="shared" si="13"/>
        <v>1044.5899999999999</v>
      </c>
      <c r="I52" s="6">
        <f t="shared" si="13"/>
        <v>1024.55</v>
      </c>
      <c r="J52" s="6">
        <f t="shared" si="13"/>
        <v>931.66</v>
      </c>
      <c r="K52" s="6">
        <f t="shared" si="13"/>
        <v>897.7</v>
      </c>
      <c r="L52" s="6">
        <f t="shared" si="11"/>
        <v>9419.7300000000014</v>
      </c>
    </row>
    <row r="53" spans="1:12" x14ac:dyDescent="0.25">
      <c r="A53" s="3" t="s">
        <v>58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5">
        <f t="shared" si="11"/>
        <v>0</v>
      </c>
    </row>
    <row r="54" spans="1:12" x14ac:dyDescent="0.25">
      <c r="A54" s="3" t="s">
        <v>59</v>
      </c>
      <c r="B54" s="4"/>
      <c r="C54" s="4"/>
      <c r="D54" s="4"/>
      <c r="E54" s="4"/>
      <c r="F54" s="5">
        <f>700</f>
        <v>700</v>
      </c>
      <c r="G54" s="4"/>
      <c r="H54" s="4"/>
      <c r="I54" s="4"/>
      <c r="J54" s="4"/>
      <c r="K54" s="4"/>
      <c r="L54" s="5">
        <f t="shared" si="11"/>
        <v>700</v>
      </c>
    </row>
    <row r="55" spans="1:12" x14ac:dyDescent="0.25">
      <c r="A55" s="3" t="s">
        <v>60</v>
      </c>
      <c r="B55" s="4"/>
      <c r="C55" s="4"/>
      <c r="D55" s="4"/>
      <c r="E55" s="5">
        <f>1650</f>
        <v>1650</v>
      </c>
      <c r="F55" s="4"/>
      <c r="G55" s="4"/>
      <c r="H55" s="4"/>
      <c r="I55" s="4"/>
      <c r="J55" s="4"/>
      <c r="K55" s="4"/>
      <c r="L55" s="5">
        <f t="shared" si="11"/>
        <v>1650</v>
      </c>
    </row>
    <row r="56" spans="1:12" x14ac:dyDescent="0.25">
      <c r="A56" s="3" t="s">
        <v>61</v>
      </c>
      <c r="B56" s="5">
        <f>160</f>
        <v>160</v>
      </c>
      <c r="C56" s="5">
        <f>185</f>
        <v>185</v>
      </c>
      <c r="D56" s="5">
        <f>200</f>
        <v>200</v>
      </c>
      <c r="E56" s="5">
        <f>210</f>
        <v>210</v>
      </c>
      <c r="F56" s="5">
        <f>175</f>
        <v>175</v>
      </c>
      <c r="G56" s="5">
        <f>217</f>
        <v>217</v>
      </c>
      <c r="H56" s="5">
        <f>271</f>
        <v>271</v>
      </c>
      <c r="I56" s="5">
        <f>241.5</f>
        <v>241.5</v>
      </c>
      <c r="J56" s="5">
        <f>218</f>
        <v>218</v>
      </c>
      <c r="K56" s="5">
        <f>167</f>
        <v>167</v>
      </c>
      <c r="L56" s="5">
        <f t="shared" si="11"/>
        <v>2044.5</v>
      </c>
    </row>
    <row r="57" spans="1:12" x14ac:dyDescent="0.25">
      <c r="A57" s="3" t="s">
        <v>62</v>
      </c>
      <c r="B57" s="5">
        <f>208.07</f>
        <v>208.07</v>
      </c>
      <c r="C57" s="4"/>
      <c r="D57" s="5">
        <f>17176.45</f>
        <v>17176.45</v>
      </c>
      <c r="E57" s="4"/>
      <c r="F57" s="4"/>
      <c r="G57" s="5">
        <f>267.5</f>
        <v>267.5</v>
      </c>
      <c r="H57" s="4"/>
      <c r="I57" s="4"/>
      <c r="J57" s="5">
        <f>600</f>
        <v>600</v>
      </c>
      <c r="K57" s="5">
        <f>40</f>
        <v>40</v>
      </c>
      <c r="L57" s="5">
        <f t="shared" si="11"/>
        <v>18292.02</v>
      </c>
    </row>
    <row r="58" spans="1:12" x14ac:dyDescent="0.25">
      <c r="A58" s="3" t="s">
        <v>63</v>
      </c>
      <c r="B58" s="5">
        <f>630</f>
        <v>630</v>
      </c>
      <c r="C58" s="5">
        <f>600</f>
        <v>600</v>
      </c>
      <c r="D58" s="5">
        <f>600</f>
        <v>600</v>
      </c>
      <c r="E58" s="5">
        <f>600</f>
        <v>600</v>
      </c>
      <c r="F58" s="5">
        <f>600</f>
        <v>600</v>
      </c>
      <c r="G58" s="5">
        <f>600</f>
        <v>600</v>
      </c>
      <c r="H58" s="4"/>
      <c r="I58" s="5">
        <f>1280</f>
        <v>1280</v>
      </c>
      <c r="J58" s="5">
        <f>840</f>
        <v>840</v>
      </c>
      <c r="K58" s="4"/>
      <c r="L58" s="5">
        <f t="shared" si="11"/>
        <v>5750</v>
      </c>
    </row>
    <row r="59" spans="1:12" x14ac:dyDescent="0.25">
      <c r="A59" s="3" t="s">
        <v>64</v>
      </c>
      <c r="B59" s="6">
        <f t="shared" ref="B59:K59" si="14">(((((B53)+(B54))+(B55))+(B56))+(B57))+(B58)</f>
        <v>998.06999999999994</v>
      </c>
      <c r="C59" s="6">
        <f t="shared" si="14"/>
        <v>785</v>
      </c>
      <c r="D59" s="6">
        <f t="shared" si="14"/>
        <v>17976.45</v>
      </c>
      <c r="E59" s="6">
        <f t="shared" si="14"/>
        <v>2460</v>
      </c>
      <c r="F59" s="6">
        <f t="shared" si="14"/>
        <v>1475</v>
      </c>
      <c r="G59" s="6">
        <f t="shared" si="14"/>
        <v>1084.5</v>
      </c>
      <c r="H59" s="6">
        <f t="shared" si="14"/>
        <v>271</v>
      </c>
      <c r="I59" s="6">
        <f t="shared" si="14"/>
        <v>1521.5</v>
      </c>
      <c r="J59" s="6">
        <f t="shared" si="14"/>
        <v>1658</v>
      </c>
      <c r="K59" s="6">
        <f t="shared" si="14"/>
        <v>207</v>
      </c>
      <c r="L59" s="6">
        <f t="shared" si="11"/>
        <v>28436.52</v>
      </c>
    </row>
    <row r="60" spans="1:12" x14ac:dyDescent="0.25">
      <c r="A60" s="3" t="s">
        <v>65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5">
        <f t="shared" si="11"/>
        <v>0</v>
      </c>
    </row>
    <row r="61" spans="1:12" x14ac:dyDescent="0.25">
      <c r="A61" s="3" t="s">
        <v>66</v>
      </c>
      <c r="B61" s="5">
        <f>4195.37</f>
        <v>4195.37</v>
      </c>
      <c r="C61" s="5">
        <f>4515</f>
        <v>4515</v>
      </c>
      <c r="D61" s="5">
        <f>4515</f>
        <v>4515</v>
      </c>
      <c r="E61" s="5">
        <f>4515</f>
        <v>4515</v>
      </c>
      <c r="F61" s="5">
        <f>4515</f>
        <v>4515</v>
      </c>
      <c r="G61" s="5">
        <f>4515</f>
        <v>4515</v>
      </c>
      <c r="H61" s="5">
        <f>4622.5</f>
        <v>4622.5</v>
      </c>
      <c r="I61" s="5">
        <f>4770.14</f>
        <v>4770.1400000000003</v>
      </c>
      <c r="J61" s="5">
        <f>4770.14</f>
        <v>4770.1400000000003</v>
      </c>
      <c r="K61" s="5">
        <f>4770.14</f>
        <v>4770.1400000000003</v>
      </c>
      <c r="L61" s="5">
        <f t="shared" si="11"/>
        <v>45703.29</v>
      </c>
    </row>
    <row r="62" spans="1:12" x14ac:dyDescent="0.25">
      <c r="A62" s="3" t="s">
        <v>67</v>
      </c>
      <c r="B62" s="4"/>
      <c r="C62" s="4"/>
      <c r="D62" s="4"/>
      <c r="E62" s="4"/>
      <c r="F62" s="4"/>
      <c r="G62" s="4"/>
      <c r="H62" s="5">
        <f>419.16</f>
        <v>419.16</v>
      </c>
      <c r="I62" s="4"/>
      <c r="J62" s="4"/>
      <c r="K62" s="4"/>
      <c r="L62" s="5">
        <f t="shared" si="11"/>
        <v>419.16</v>
      </c>
    </row>
    <row r="63" spans="1:12" x14ac:dyDescent="0.25">
      <c r="A63" s="3" t="s">
        <v>68</v>
      </c>
      <c r="B63" s="5">
        <f>3103</f>
        <v>3103</v>
      </c>
      <c r="C63" s="5">
        <f>1350</f>
        <v>1350</v>
      </c>
      <c r="D63" s="4"/>
      <c r="E63" s="5">
        <f>1147.57</f>
        <v>1147.57</v>
      </c>
      <c r="F63" s="5">
        <f>67.9</f>
        <v>67.900000000000006</v>
      </c>
      <c r="G63" s="4"/>
      <c r="H63" s="5">
        <f>820.3</f>
        <v>820.3</v>
      </c>
      <c r="I63" s="5">
        <f>562.5</f>
        <v>562.5</v>
      </c>
      <c r="J63" s="5">
        <f>736.88</f>
        <v>736.88</v>
      </c>
      <c r="K63" s="5">
        <f>3376.63</f>
        <v>3376.63</v>
      </c>
      <c r="L63" s="5">
        <f t="shared" si="11"/>
        <v>11164.779999999999</v>
      </c>
    </row>
    <row r="64" spans="1:12" x14ac:dyDescent="0.25">
      <c r="A64" s="3" t="s">
        <v>69</v>
      </c>
      <c r="B64" s="4"/>
      <c r="C64" s="5">
        <f>300</f>
        <v>300</v>
      </c>
      <c r="D64" s="4"/>
      <c r="E64" s="4"/>
      <c r="F64" s="4"/>
      <c r="G64" s="4"/>
      <c r="H64" s="4"/>
      <c r="I64" s="4"/>
      <c r="J64" s="4"/>
      <c r="K64" s="4"/>
      <c r="L64" s="5">
        <f t="shared" si="11"/>
        <v>300</v>
      </c>
    </row>
    <row r="65" spans="1:12" x14ac:dyDescent="0.25">
      <c r="A65" s="3" t="s">
        <v>70</v>
      </c>
      <c r="B65" s="5">
        <f>6100</f>
        <v>6100</v>
      </c>
      <c r="C65" s="4"/>
      <c r="D65" s="4"/>
      <c r="E65" s="4"/>
      <c r="F65" s="4"/>
      <c r="G65" s="4"/>
      <c r="H65" s="4"/>
      <c r="I65" s="4"/>
      <c r="J65" s="4"/>
      <c r="K65" s="4"/>
      <c r="L65" s="5">
        <f t="shared" si="11"/>
        <v>6100</v>
      </c>
    </row>
    <row r="66" spans="1:12" x14ac:dyDescent="0.25">
      <c r="A66" s="3" t="s">
        <v>71</v>
      </c>
      <c r="B66" s="4"/>
      <c r="C66" s="5">
        <f>28.26</f>
        <v>28.26</v>
      </c>
      <c r="D66" s="4"/>
      <c r="E66" s="4"/>
      <c r="F66" s="4"/>
      <c r="G66" s="4"/>
      <c r="H66" s="4"/>
      <c r="I66" s="5">
        <f>77.9</f>
        <v>77.900000000000006</v>
      </c>
      <c r="J66" s="4"/>
      <c r="K66" s="4"/>
      <c r="L66" s="5">
        <f t="shared" si="11"/>
        <v>106.16000000000001</v>
      </c>
    </row>
    <row r="67" spans="1:12" x14ac:dyDescent="0.25">
      <c r="A67" s="3" t="s">
        <v>72</v>
      </c>
      <c r="B67" s="4"/>
      <c r="C67" s="4"/>
      <c r="D67" s="4"/>
      <c r="E67" s="5">
        <f>300</f>
        <v>300</v>
      </c>
      <c r="F67" s="5">
        <f>5351.76</f>
        <v>5351.76</v>
      </c>
      <c r="G67" s="5">
        <f>-586.56</f>
        <v>-586.55999999999995</v>
      </c>
      <c r="H67" s="5">
        <f>37.5</f>
        <v>37.5</v>
      </c>
      <c r="I67" s="4"/>
      <c r="J67" s="4"/>
      <c r="K67" s="4"/>
      <c r="L67" s="5">
        <f t="shared" si="11"/>
        <v>5102.7000000000007</v>
      </c>
    </row>
    <row r="68" spans="1:12" x14ac:dyDescent="0.25">
      <c r="A68" s="3" t="s">
        <v>73</v>
      </c>
      <c r="B68" s="4"/>
      <c r="C68" s="4"/>
      <c r="D68" s="4"/>
      <c r="E68" s="4"/>
      <c r="F68" s="4"/>
      <c r="G68" s="5">
        <f>112</f>
        <v>112</v>
      </c>
      <c r="H68" s="4"/>
      <c r="I68" s="4"/>
      <c r="J68" s="4"/>
      <c r="K68" s="4"/>
      <c r="L68" s="5">
        <f t="shared" si="11"/>
        <v>112</v>
      </c>
    </row>
    <row r="69" spans="1:12" x14ac:dyDescent="0.25">
      <c r="A69" s="3" t="s">
        <v>74</v>
      </c>
      <c r="B69" s="4"/>
      <c r="C69" s="4"/>
      <c r="D69" s="5">
        <f>3.34</f>
        <v>3.34</v>
      </c>
      <c r="E69" s="4"/>
      <c r="F69" s="4"/>
      <c r="G69" s="4"/>
      <c r="H69" s="4"/>
      <c r="I69" s="5">
        <f>162</f>
        <v>162</v>
      </c>
      <c r="J69" s="5">
        <f>233.35</f>
        <v>233.35</v>
      </c>
      <c r="K69" s="5">
        <f>1135.51</f>
        <v>1135.51</v>
      </c>
      <c r="L69" s="5">
        <f t="shared" si="11"/>
        <v>1534.2</v>
      </c>
    </row>
    <row r="70" spans="1:12" x14ac:dyDescent="0.25">
      <c r="A70" s="3" t="s">
        <v>75</v>
      </c>
      <c r="B70" s="4"/>
      <c r="C70" s="4"/>
      <c r="D70" s="5">
        <f>460.32</f>
        <v>460.32</v>
      </c>
      <c r="E70" s="4"/>
      <c r="F70" s="4"/>
      <c r="G70" s="4"/>
      <c r="H70" s="4"/>
      <c r="I70" s="5">
        <f>147.62</f>
        <v>147.62</v>
      </c>
      <c r="J70" s="5">
        <f>-1738</f>
        <v>-1738</v>
      </c>
      <c r="K70" s="5">
        <f>674.93</f>
        <v>674.93</v>
      </c>
      <c r="L70" s="5">
        <f t="shared" si="11"/>
        <v>-455.13</v>
      </c>
    </row>
    <row r="71" spans="1:12" x14ac:dyDescent="0.25">
      <c r="A71" s="3" t="s">
        <v>76</v>
      </c>
      <c r="B71" s="5">
        <f>511.67</f>
        <v>511.67</v>
      </c>
      <c r="C71" s="5">
        <f>308.17</f>
        <v>308.17</v>
      </c>
      <c r="D71" s="5">
        <f>221.88</f>
        <v>221.88</v>
      </c>
      <c r="E71" s="5">
        <f>46.2</f>
        <v>46.2</v>
      </c>
      <c r="F71" s="4"/>
      <c r="G71" s="4"/>
      <c r="H71" s="5">
        <f>276.1</f>
        <v>276.10000000000002</v>
      </c>
      <c r="I71" s="5">
        <f>230</f>
        <v>230</v>
      </c>
      <c r="J71" s="5">
        <f>383.86</f>
        <v>383.86</v>
      </c>
      <c r="K71" s="5">
        <f>25</f>
        <v>25</v>
      </c>
      <c r="L71" s="5">
        <f t="shared" si="11"/>
        <v>2002.88</v>
      </c>
    </row>
    <row r="72" spans="1:12" x14ac:dyDescent="0.25">
      <c r="A72" s="3" t="s">
        <v>77</v>
      </c>
      <c r="B72" s="6">
        <f t="shared" ref="B72:K72" si="15">(((((((((((B60)+(B61))+(B62))+(B63))+(B64))+(B65))+(B66))+(B67))+(B68))+(B69))+(B70))+(B71)</f>
        <v>13910.039999999999</v>
      </c>
      <c r="C72" s="6">
        <f t="shared" si="15"/>
        <v>6501.43</v>
      </c>
      <c r="D72" s="6">
        <f t="shared" si="15"/>
        <v>5200.54</v>
      </c>
      <c r="E72" s="6">
        <f t="shared" si="15"/>
        <v>6008.7699999999995</v>
      </c>
      <c r="F72" s="6">
        <f t="shared" si="15"/>
        <v>9934.66</v>
      </c>
      <c r="G72" s="6">
        <f t="shared" si="15"/>
        <v>4040.44</v>
      </c>
      <c r="H72" s="6">
        <f t="shared" si="15"/>
        <v>6175.56</v>
      </c>
      <c r="I72" s="6">
        <f t="shared" si="15"/>
        <v>5950.16</v>
      </c>
      <c r="J72" s="6">
        <f t="shared" si="15"/>
        <v>4386.2300000000005</v>
      </c>
      <c r="K72" s="6">
        <f t="shared" si="15"/>
        <v>9982.2100000000009</v>
      </c>
      <c r="L72" s="6">
        <f t="shared" si="11"/>
        <v>72090.040000000008</v>
      </c>
    </row>
    <row r="73" spans="1:12" x14ac:dyDescent="0.25">
      <c r="A73" s="3" t="s">
        <v>78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5">
        <f t="shared" si="11"/>
        <v>0</v>
      </c>
    </row>
    <row r="74" spans="1:12" x14ac:dyDescent="0.25">
      <c r="A74" s="3" t="s">
        <v>79</v>
      </c>
      <c r="B74" s="5">
        <f>6938.19</f>
        <v>6938.19</v>
      </c>
      <c r="C74" s="5">
        <f>7183.63</f>
        <v>7183.63</v>
      </c>
      <c r="D74" s="5">
        <f>6592.13</f>
        <v>6592.13</v>
      </c>
      <c r="E74" s="5">
        <f>6722.13</f>
        <v>6722.13</v>
      </c>
      <c r="F74" s="5">
        <f>4988.55</f>
        <v>4988.55</v>
      </c>
      <c r="G74" s="5">
        <f>7536.12</f>
        <v>7536.12</v>
      </c>
      <c r="H74" s="5">
        <f>5678.78</f>
        <v>5678.78</v>
      </c>
      <c r="I74" s="5">
        <f>6135.06</f>
        <v>6135.06</v>
      </c>
      <c r="J74" s="5">
        <f>6070.5</f>
        <v>6070.5</v>
      </c>
      <c r="K74" s="5">
        <f>5875.75</f>
        <v>5875.75</v>
      </c>
      <c r="L74" s="5">
        <f t="shared" si="11"/>
        <v>63720.84</v>
      </c>
    </row>
    <row r="75" spans="1:12" x14ac:dyDescent="0.25">
      <c r="A75" s="3" t="s">
        <v>80</v>
      </c>
      <c r="B75" s="4"/>
      <c r="C75" s="5">
        <f>35.95</f>
        <v>35.950000000000003</v>
      </c>
      <c r="D75" s="5">
        <f>127.93</f>
        <v>127.93</v>
      </c>
      <c r="E75" s="5">
        <f>238.61</f>
        <v>238.61</v>
      </c>
      <c r="F75" s="5">
        <f>82.4</f>
        <v>82.4</v>
      </c>
      <c r="G75" s="4"/>
      <c r="H75" s="4"/>
      <c r="I75" s="4"/>
      <c r="J75" s="5">
        <f>35.06</f>
        <v>35.06</v>
      </c>
      <c r="K75" s="4"/>
      <c r="L75" s="5">
        <f t="shared" si="11"/>
        <v>519.95000000000005</v>
      </c>
    </row>
    <row r="76" spans="1:12" x14ac:dyDescent="0.25">
      <c r="A76" s="3" t="s">
        <v>81</v>
      </c>
      <c r="B76" s="4"/>
      <c r="C76" s="5">
        <f>200</f>
        <v>200</v>
      </c>
      <c r="D76" s="5">
        <f>200.1</f>
        <v>200.1</v>
      </c>
      <c r="E76" s="5">
        <f>290</f>
        <v>290</v>
      </c>
      <c r="F76" s="5">
        <f>200</f>
        <v>200</v>
      </c>
      <c r="G76" s="5">
        <f>1200</f>
        <v>1200</v>
      </c>
      <c r="H76" s="5">
        <f>200</f>
        <v>200</v>
      </c>
      <c r="I76" s="5">
        <f>250</f>
        <v>250</v>
      </c>
      <c r="J76" s="5">
        <f>450</f>
        <v>450</v>
      </c>
      <c r="K76" s="5">
        <f>200</f>
        <v>200</v>
      </c>
      <c r="L76" s="5">
        <f t="shared" si="11"/>
        <v>3190.1</v>
      </c>
    </row>
    <row r="77" spans="1:12" x14ac:dyDescent="0.25">
      <c r="A77" s="3" t="s">
        <v>82</v>
      </c>
      <c r="B77" s="4"/>
      <c r="C77" s="5">
        <f>53.3</f>
        <v>53.3</v>
      </c>
      <c r="D77" s="5">
        <f>87.79</f>
        <v>87.79</v>
      </c>
      <c r="E77" s="5">
        <f>49.25</f>
        <v>49.25</v>
      </c>
      <c r="F77" s="4"/>
      <c r="G77" s="4"/>
      <c r="H77" s="4"/>
      <c r="I77" s="4"/>
      <c r="J77" s="4"/>
      <c r="K77" s="4"/>
      <c r="L77" s="5">
        <f t="shared" si="11"/>
        <v>190.34</v>
      </c>
    </row>
    <row r="78" spans="1:12" x14ac:dyDescent="0.25">
      <c r="A78" s="3" t="s">
        <v>83</v>
      </c>
      <c r="B78" s="4"/>
      <c r="C78" s="4"/>
      <c r="D78" s="4"/>
      <c r="E78" s="4"/>
      <c r="F78" s="4"/>
      <c r="G78" s="4"/>
      <c r="H78" s="4"/>
      <c r="I78" s="4"/>
      <c r="J78" s="5">
        <f>-159.46</f>
        <v>-159.46</v>
      </c>
      <c r="K78" s="5">
        <f>158.4</f>
        <v>158.4</v>
      </c>
      <c r="L78" s="5">
        <f t="shared" ref="L78:L109" si="16">(((((((((B78)+(C78))+(D78))+(E78))+(F78))+(G78))+(H78))+(I78))+(J78))+(K78)</f>
        <v>-1.0600000000000023</v>
      </c>
    </row>
    <row r="79" spans="1:12" x14ac:dyDescent="0.25">
      <c r="A79" s="3" t="s">
        <v>84</v>
      </c>
      <c r="B79" s="4"/>
      <c r="C79" s="4"/>
      <c r="D79" s="5">
        <f>19.8</f>
        <v>19.8</v>
      </c>
      <c r="E79" s="4"/>
      <c r="F79" s="4"/>
      <c r="G79" s="4"/>
      <c r="H79" s="4"/>
      <c r="I79" s="4"/>
      <c r="J79" s="4"/>
      <c r="K79" s="5">
        <f>80</f>
        <v>80</v>
      </c>
      <c r="L79" s="5">
        <f t="shared" si="16"/>
        <v>99.8</v>
      </c>
    </row>
    <row r="80" spans="1:12" x14ac:dyDescent="0.25">
      <c r="A80" s="3" t="s">
        <v>85</v>
      </c>
      <c r="B80" s="5">
        <f>300</f>
        <v>300</v>
      </c>
      <c r="C80" s="5">
        <f>300</f>
        <v>300</v>
      </c>
      <c r="D80" s="5">
        <f>300</f>
        <v>300</v>
      </c>
      <c r="E80" s="5">
        <f>300</f>
        <v>300</v>
      </c>
      <c r="F80" s="5">
        <f>2305.5</f>
        <v>2305.5</v>
      </c>
      <c r="G80" s="5">
        <f>300</f>
        <v>300</v>
      </c>
      <c r="H80" s="5">
        <f>600</f>
        <v>600</v>
      </c>
      <c r="I80" s="5">
        <f>300</f>
        <v>300</v>
      </c>
      <c r="J80" s="5">
        <f>300</f>
        <v>300</v>
      </c>
      <c r="K80" s="5">
        <f>315.99</f>
        <v>315.99</v>
      </c>
      <c r="L80" s="5">
        <f t="shared" si="16"/>
        <v>5321.49</v>
      </c>
    </row>
    <row r="81" spans="1:12" x14ac:dyDescent="0.25">
      <c r="A81" s="3" t="s">
        <v>86</v>
      </c>
      <c r="B81" s="4"/>
      <c r="C81" s="5">
        <f>259.9</f>
        <v>259.89999999999998</v>
      </c>
      <c r="D81" s="5">
        <f>82.5</f>
        <v>82.5</v>
      </c>
      <c r="E81" s="5">
        <f>432.08</f>
        <v>432.08</v>
      </c>
      <c r="F81" s="5">
        <f>580.39</f>
        <v>580.39</v>
      </c>
      <c r="G81" s="4"/>
      <c r="H81" s="5">
        <f>840</f>
        <v>840</v>
      </c>
      <c r="I81" s="5">
        <f>265.25</f>
        <v>265.25</v>
      </c>
      <c r="J81" s="5">
        <f>229.88</f>
        <v>229.88</v>
      </c>
      <c r="K81" s="4"/>
      <c r="L81" s="5">
        <f t="shared" si="16"/>
        <v>2690</v>
      </c>
    </row>
    <row r="82" spans="1:12" x14ac:dyDescent="0.25">
      <c r="A82" s="3" t="s">
        <v>87</v>
      </c>
      <c r="B82" s="5">
        <f>466.75</f>
        <v>466.75</v>
      </c>
      <c r="C82" s="5">
        <f>471</f>
        <v>471</v>
      </c>
      <c r="D82" s="5">
        <f>321</f>
        <v>321</v>
      </c>
      <c r="E82" s="5">
        <f>321</f>
        <v>321</v>
      </c>
      <c r="F82" s="5">
        <f>785</f>
        <v>785</v>
      </c>
      <c r="G82" s="5">
        <f>385</f>
        <v>385</v>
      </c>
      <c r="H82" s="5">
        <f>518.74</f>
        <v>518.74</v>
      </c>
      <c r="I82" s="5">
        <f>224.99</f>
        <v>224.99</v>
      </c>
      <c r="J82" s="5">
        <f>700.75</f>
        <v>700.75</v>
      </c>
      <c r="K82" s="5">
        <f>319.25</f>
        <v>319.25</v>
      </c>
      <c r="L82" s="5">
        <f t="shared" si="16"/>
        <v>4513.4799999999996</v>
      </c>
    </row>
    <row r="83" spans="1:12" x14ac:dyDescent="0.25">
      <c r="A83" s="3" t="s">
        <v>88</v>
      </c>
      <c r="B83" s="4"/>
      <c r="C83" s="5">
        <f>145.77</f>
        <v>145.77000000000001</v>
      </c>
      <c r="D83" s="4"/>
      <c r="E83" s="4"/>
      <c r="F83" s="5">
        <f>2495.04</f>
        <v>2495.04</v>
      </c>
      <c r="G83" s="5">
        <f>-2739.46</f>
        <v>-2739.46</v>
      </c>
      <c r="H83" s="5">
        <f>215.91</f>
        <v>215.91</v>
      </c>
      <c r="I83" s="5">
        <f>22.2</f>
        <v>22.2</v>
      </c>
      <c r="J83" s="4"/>
      <c r="K83" s="4"/>
      <c r="L83" s="5">
        <f t="shared" si="16"/>
        <v>139.45999999999989</v>
      </c>
    </row>
    <row r="84" spans="1:12" x14ac:dyDescent="0.25">
      <c r="A84" s="3" t="s">
        <v>89</v>
      </c>
      <c r="B84" s="5">
        <f>26.1</f>
        <v>26.1</v>
      </c>
      <c r="C84" s="4"/>
      <c r="D84" s="4"/>
      <c r="E84" s="4"/>
      <c r="F84" s="4"/>
      <c r="G84" s="4"/>
      <c r="H84" s="4"/>
      <c r="I84" s="4"/>
      <c r="J84" s="4"/>
      <c r="K84" s="4"/>
      <c r="L84" s="5">
        <f t="shared" si="16"/>
        <v>26.1</v>
      </c>
    </row>
    <row r="85" spans="1:12" x14ac:dyDescent="0.25">
      <c r="A85" s="3" t="s">
        <v>90</v>
      </c>
      <c r="B85" s="4"/>
      <c r="C85" s="5">
        <f>758.4</f>
        <v>758.4</v>
      </c>
      <c r="D85" s="4"/>
      <c r="E85" s="5">
        <f>200</f>
        <v>200</v>
      </c>
      <c r="F85" s="5">
        <f>200</f>
        <v>200</v>
      </c>
      <c r="G85" s="5">
        <f>200</f>
        <v>200</v>
      </c>
      <c r="H85" s="4"/>
      <c r="I85" s="4"/>
      <c r="J85" s="5">
        <f>200</f>
        <v>200</v>
      </c>
      <c r="K85" s="5">
        <f>200</f>
        <v>200</v>
      </c>
      <c r="L85" s="5">
        <f t="shared" si="16"/>
        <v>1758.4</v>
      </c>
    </row>
    <row r="86" spans="1:12" x14ac:dyDescent="0.25">
      <c r="A86" s="3" t="s">
        <v>91</v>
      </c>
      <c r="B86" s="4"/>
      <c r="C86" s="5">
        <f>355</f>
        <v>355</v>
      </c>
      <c r="D86" s="4"/>
      <c r="E86" s="4"/>
      <c r="F86" s="4"/>
      <c r="G86" s="5">
        <f>400</f>
        <v>400</v>
      </c>
      <c r="H86" s="4"/>
      <c r="I86" s="4"/>
      <c r="J86" s="4"/>
      <c r="K86" s="5">
        <f>375</f>
        <v>375</v>
      </c>
      <c r="L86" s="5">
        <f t="shared" si="16"/>
        <v>1130</v>
      </c>
    </row>
    <row r="87" spans="1:12" x14ac:dyDescent="0.25">
      <c r="A87" s="3" t="s">
        <v>92</v>
      </c>
      <c r="B87" s="5">
        <f>317.81</f>
        <v>317.81</v>
      </c>
      <c r="C87" s="4"/>
      <c r="D87" s="4"/>
      <c r="E87" s="5">
        <f>250</f>
        <v>250</v>
      </c>
      <c r="F87" s="4"/>
      <c r="G87" s="4"/>
      <c r="H87" s="5">
        <f>290</f>
        <v>290</v>
      </c>
      <c r="I87" s="5">
        <f>200</f>
        <v>200</v>
      </c>
      <c r="J87" s="4"/>
      <c r="K87" s="5">
        <f>106.31</f>
        <v>106.31</v>
      </c>
      <c r="L87" s="5">
        <f t="shared" si="16"/>
        <v>1164.1199999999999</v>
      </c>
    </row>
    <row r="88" spans="1:12" x14ac:dyDescent="0.25">
      <c r="A88" s="3" t="s">
        <v>93</v>
      </c>
      <c r="B88" s="6">
        <f t="shared" ref="B88:K88" si="17">((((((((((((((B73)+(B74))+(B75))+(B76))+(B77))+(B78))+(B79))+(B80))+(B81))+(B82))+(B83))+(B84))+(B85))+(B86))+(B87)</f>
        <v>8048.85</v>
      </c>
      <c r="C88" s="6">
        <f t="shared" si="17"/>
        <v>9762.9499999999989</v>
      </c>
      <c r="D88" s="6">
        <f t="shared" si="17"/>
        <v>7731.2500000000009</v>
      </c>
      <c r="E88" s="6">
        <f t="shared" si="17"/>
        <v>8803.07</v>
      </c>
      <c r="F88" s="6">
        <f t="shared" si="17"/>
        <v>11636.880000000001</v>
      </c>
      <c r="G88" s="6">
        <f t="shared" si="17"/>
        <v>7281.6599999999989</v>
      </c>
      <c r="H88" s="6">
        <f t="shared" si="17"/>
        <v>8343.43</v>
      </c>
      <c r="I88" s="6">
        <f t="shared" si="17"/>
        <v>7397.5</v>
      </c>
      <c r="J88" s="6">
        <f t="shared" si="17"/>
        <v>7826.7300000000005</v>
      </c>
      <c r="K88" s="6">
        <f t="shared" si="17"/>
        <v>7630.7</v>
      </c>
      <c r="L88" s="6">
        <f t="shared" si="16"/>
        <v>84463.01999999999</v>
      </c>
    </row>
    <row r="89" spans="1:12" x14ac:dyDescent="0.25">
      <c r="A89" s="3" t="s">
        <v>94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5">
        <f t="shared" si="16"/>
        <v>0</v>
      </c>
    </row>
    <row r="90" spans="1:12" x14ac:dyDescent="0.25">
      <c r="A90" s="3" t="s">
        <v>95</v>
      </c>
      <c r="B90" s="5">
        <f>341.48</f>
        <v>341.48</v>
      </c>
      <c r="C90" s="5">
        <f>367.5</f>
        <v>367.5</v>
      </c>
      <c r="D90" s="5">
        <f>367.5</f>
        <v>367.5</v>
      </c>
      <c r="E90" s="5">
        <f>367.5</f>
        <v>367.5</v>
      </c>
      <c r="F90" s="5">
        <f>367.5</f>
        <v>367.5</v>
      </c>
      <c r="G90" s="5">
        <f>367.5</f>
        <v>367.5</v>
      </c>
      <c r="H90" s="5">
        <f>376.25</f>
        <v>376.25</v>
      </c>
      <c r="I90" s="5">
        <f>388.26</f>
        <v>388.26</v>
      </c>
      <c r="J90" s="5">
        <f>388.26</f>
        <v>388.26</v>
      </c>
      <c r="K90" s="5">
        <f>388.26</f>
        <v>388.26</v>
      </c>
      <c r="L90" s="5">
        <f t="shared" si="16"/>
        <v>3720.01</v>
      </c>
    </row>
    <row r="91" spans="1:12" x14ac:dyDescent="0.25">
      <c r="A91" s="3" t="s">
        <v>96</v>
      </c>
      <c r="B91" s="4"/>
      <c r="C91" s="5">
        <f>884.05</f>
        <v>884.05</v>
      </c>
      <c r="D91" s="5">
        <f>242.38</f>
        <v>242.38</v>
      </c>
      <c r="E91" s="5">
        <f>150</f>
        <v>150</v>
      </c>
      <c r="F91" s="5">
        <f>150</f>
        <v>150</v>
      </c>
      <c r="G91" s="4"/>
      <c r="H91" s="4"/>
      <c r="I91" s="5">
        <f>139.44</f>
        <v>139.44</v>
      </c>
      <c r="J91" s="5">
        <f>-1650</f>
        <v>-1650</v>
      </c>
      <c r="K91" s="5">
        <f>329.89</f>
        <v>329.89</v>
      </c>
      <c r="L91" s="5">
        <f t="shared" si="16"/>
        <v>245.75999999999988</v>
      </c>
    </row>
    <row r="92" spans="1:12" x14ac:dyDescent="0.25">
      <c r="A92" s="3" t="s">
        <v>97</v>
      </c>
      <c r="B92" s="5">
        <f>318.9</f>
        <v>318.89999999999998</v>
      </c>
      <c r="C92" s="5">
        <f>160.5</f>
        <v>160.5</v>
      </c>
      <c r="D92" s="5">
        <f>334.89</f>
        <v>334.89</v>
      </c>
      <c r="E92" s="5">
        <f>335.22</f>
        <v>335.22</v>
      </c>
      <c r="F92" s="5">
        <f>335.22</f>
        <v>335.22</v>
      </c>
      <c r="G92" s="5">
        <f>337.36</f>
        <v>337.36</v>
      </c>
      <c r="H92" s="5">
        <f>341.36</f>
        <v>341.36</v>
      </c>
      <c r="I92" s="5">
        <f>337.59</f>
        <v>337.59</v>
      </c>
      <c r="J92" s="5">
        <f>341.59</f>
        <v>341.59</v>
      </c>
      <c r="K92" s="5">
        <f>321.48</f>
        <v>321.48</v>
      </c>
      <c r="L92" s="5">
        <f t="shared" si="16"/>
        <v>3164.1100000000006</v>
      </c>
    </row>
    <row r="93" spans="1:12" x14ac:dyDescent="0.25">
      <c r="A93" s="3" t="s">
        <v>98</v>
      </c>
      <c r="B93" s="4"/>
      <c r="C93" s="4"/>
      <c r="D93" s="4"/>
      <c r="E93" s="4"/>
      <c r="F93" s="4"/>
      <c r="G93" s="4"/>
      <c r="H93" s="4"/>
      <c r="I93" s="4"/>
      <c r="J93" s="4"/>
      <c r="K93" s="5">
        <f>30.45</f>
        <v>30.45</v>
      </c>
      <c r="L93" s="5">
        <f t="shared" si="16"/>
        <v>30.45</v>
      </c>
    </row>
    <row r="94" spans="1:12" x14ac:dyDescent="0.25">
      <c r="A94" s="3" t="s">
        <v>99</v>
      </c>
      <c r="B94" s="4"/>
      <c r="C94" s="4"/>
      <c r="D94" s="4"/>
      <c r="E94" s="5">
        <f>190</f>
        <v>190</v>
      </c>
      <c r="F94" s="5">
        <f>125.88</f>
        <v>125.88</v>
      </c>
      <c r="G94" s="4"/>
      <c r="H94" s="4"/>
      <c r="I94" s="4"/>
      <c r="J94" s="4"/>
      <c r="K94" s="4"/>
      <c r="L94" s="5">
        <f t="shared" si="16"/>
        <v>315.88</v>
      </c>
    </row>
    <row r="95" spans="1:12" x14ac:dyDescent="0.25">
      <c r="A95" s="3" t="s">
        <v>100</v>
      </c>
      <c r="B95" s="6">
        <f t="shared" ref="B95:K95" si="18">(((((B89)+(B90))+(B91))+(B92))+(B93))+(B94)</f>
        <v>660.38</v>
      </c>
      <c r="C95" s="6">
        <f t="shared" si="18"/>
        <v>1412.05</v>
      </c>
      <c r="D95" s="6">
        <f t="shared" si="18"/>
        <v>944.77</v>
      </c>
      <c r="E95" s="6">
        <f t="shared" si="18"/>
        <v>1042.72</v>
      </c>
      <c r="F95" s="6">
        <f t="shared" si="18"/>
        <v>978.6</v>
      </c>
      <c r="G95" s="6">
        <f t="shared" si="18"/>
        <v>704.86</v>
      </c>
      <c r="H95" s="6">
        <f t="shared" si="18"/>
        <v>717.61</v>
      </c>
      <c r="I95" s="6">
        <f t="shared" si="18"/>
        <v>865.29</v>
      </c>
      <c r="J95" s="6">
        <f t="shared" si="18"/>
        <v>-920.15000000000009</v>
      </c>
      <c r="K95" s="6">
        <f t="shared" si="18"/>
        <v>1070.0800000000002</v>
      </c>
      <c r="L95" s="6">
        <f t="shared" si="16"/>
        <v>7476.2099999999991</v>
      </c>
    </row>
    <row r="96" spans="1:12" x14ac:dyDescent="0.25">
      <c r="A96" s="3" t="s">
        <v>101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5">
        <f t="shared" si="16"/>
        <v>0</v>
      </c>
    </row>
    <row r="97" spans="1:12" x14ac:dyDescent="0.25">
      <c r="A97" s="3" t="s">
        <v>102</v>
      </c>
      <c r="B97" s="5">
        <f>185</f>
        <v>185</v>
      </c>
      <c r="C97" s="4"/>
      <c r="D97" s="5">
        <f>185</f>
        <v>185</v>
      </c>
      <c r="E97" s="4"/>
      <c r="F97" s="5">
        <f>185</f>
        <v>185</v>
      </c>
      <c r="G97" s="4"/>
      <c r="H97" s="4"/>
      <c r="I97" s="5">
        <f>410</f>
        <v>410</v>
      </c>
      <c r="J97" s="5">
        <f>768</f>
        <v>768</v>
      </c>
      <c r="K97" s="5">
        <f>967.73</f>
        <v>967.73</v>
      </c>
      <c r="L97" s="5">
        <f t="shared" si="16"/>
        <v>2700.73</v>
      </c>
    </row>
    <row r="98" spans="1:12" x14ac:dyDescent="0.25">
      <c r="A98" s="3" t="s">
        <v>103</v>
      </c>
      <c r="B98" s="4"/>
      <c r="C98" s="4"/>
      <c r="D98" s="4"/>
      <c r="E98" s="4"/>
      <c r="F98" s="4"/>
      <c r="G98" s="4"/>
      <c r="H98" s="5">
        <f>1940</f>
        <v>1940</v>
      </c>
      <c r="I98" s="4"/>
      <c r="J98" s="4"/>
      <c r="K98" s="4"/>
      <c r="L98" s="5">
        <f t="shared" si="16"/>
        <v>1940</v>
      </c>
    </row>
    <row r="99" spans="1:12" x14ac:dyDescent="0.25">
      <c r="A99" s="3" t="s">
        <v>104</v>
      </c>
      <c r="B99" s="5">
        <f>400</f>
        <v>400</v>
      </c>
      <c r="C99" s="5">
        <f>180</f>
        <v>180</v>
      </c>
      <c r="D99" s="5">
        <f>180</f>
        <v>180</v>
      </c>
      <c r="E99" s="4"/>
      <c r="F99" s="4"/>
      <c r="G99" s="4"/>
      <c r="H99" s="4"/>
      <c r="I99" s="4"/>
      <c r="J99" s="4"/>
      <c r="K99" s="4"/>
      <c r="L99" s="5">
        <f t="shared" si="16"/>
        <v>760</v>
      </c>
    </row>
    <row r="100" spans="1:12" x14ac:dyDescent="0.25">
      <c r="A100" s="3" t="s">
        <v>105</v>
      </c>
      <c r="B100" s="4"/>
      <c r="C100" s="4"/>
      <c r="D100" s="4"/>
      <c r="E100" s="4"/>
      <c r="F100" s="4"/>
      <c r="G100" s="4"/>
      <c r="H100" s="5">
        <f>147.45</f>
        <v>147.44999999999999</v>
      </c>
      <c r="I100" s="4"/>
      <c r="J100" s="4"/>
      <c r="K100" s="4"/>
      <c r="L100" s="5">
        <f t="shared" si="16"/>
        <v>147.44999999999999</v>
      </c>
    </row>
    <row r="101" spans="1:12" x14ac:dyDescent="0.25">
      <c r="A101" s="3" t="s">
        <v>106</v>
      </c>
      <c r="B101" s="5">
        <f>230.98</f>
        <v>230.98</v>
      </c>
      <c r="C101" s="5">
        <f>230.98</f>
        <v>230.98</v>
      </c>
      <c r="D101" s="5">
        <f>219.99</f>
        <v>219.99</v>
      </c>
      <c r="E101" s="5">
        <f>607.97</f>
        <v>607.97</v>
      </c>
      <c r="F101" s="5">
        <f>319.98</f>
        <v>319.98</v>
      </c>
      <c r="G101" s="5">
        <f>-167.99</f>
        <v>-167.99</v>
      </c>
      <c r="H101" s="5">
        <f>295.99</f>
        <v>295.99</v>
      </c>
      <c r="I101" s="5">
        <f>835.68</f>
        <v>835.68</v>
      </c>
      <c r="J101" s="5">
        <f>987.53</f>
        <v>987.53</v>
      </c>
      <c r="K101" s="5">
        <f>862.93</f>
        <v>862.93</v>
      </c>
      <c r="L101" s="5">
        <f t="shared" si="16"/>
        <v>4424.04</v>
      </c>
    </row>
    <row r="102" spans="1:12" x14ac:dyDescent="0.25">
      <c r="A102" s="3" t="s">
        <v>107</v>
      </c>
      <c r="B102" s="5">
        <f>329.36</f>
        <v>329.36</v>
      </c>
      <c r="C102" s="5">
        <f>350</f>
        <v>350</v>
      </c>
      <c r="D102" s="4"/>
      <c r="E102" s="5">
        <f>247.55</f>
        <v>247.55</v>
      </c>
      <c r="F102" s="5">
        <f>148.98</f>
        <v>148.97999999999999</v>
      </c>
      <c r="G102" s="5">
        <f>63.91</f>
        <v>63.91</v>
      </c>
      <c r="H102" s="5">
        <f>387.16</f>
        <v>387.16</v>
      </c>
      <c r="I102" s="5">
        <f>221.02</f>
        <v>221.02</v>
      </c>
      <c r="J102" s="5">
        <f>245.52</f>
        <v>245.52</v>
      </c>
      <c r="K102" s="5">
        <f>442.89</f>
        <v>442.89</v>
      </c>
      <c r="L102" s="5">
        <f t="shared" si="16"/>
        <v>2436.3900000000003</v>
      </c>
    </row>
    <row r="103" spans="1:12" x14ac:dyDescent="0.25">
      <c r="A103" s="3" t="s">
        <v>108</v>
      </c>
      <c r="B103" s="4"/>
      <c r="C103" s="4"/>
      <c r="D103" s="5">
        <f>293.63</f>
        <v>293.63</v>
      </c>
      <c r="E103" s="4"/>
      <c r="F103" s="4"/>
      <c r="G103" s="4"/>
      <c r="H103" s="4"/>
      <c r="I103" s="4"/>
      <c r="J103" s="4"/>
      <c r="K103" s="4"/>
      <c r="L103" s="5">
        <f t="shared" si="16"/>
        <v>293.63</v>
      </c>
    </row>
    <row r="104" spans="1:12" x14ac:dyDescent="0.25">
      <c r="A104" s="3" t="s">
        <v>109</v>
      </c>
      <c r="B104" s="5">
        <f>180</f>
        <v>180</v>
      </c>
      <c r="C104" s="5">
        <f>219</f>
        <v>219</v>
      </c>
      <c r="D104" s="5">
        <f>219.99</f>
        <v>219.99</v>
      </c>
      <c r="E104" s="5">
        <f>219.99</f>
        <v>219.99</v>
      </c>
      <c r="F104" s="5">
        <f>409.99</f>
        <v>409.99</v>
      </c>
      <c r="G104" s="5">
        <f>409.99</f>
        <v>409.99</v>
      </c>
      <c r="H104" s="5">
        <f>516.02</f>
        <v>516.02</v>
      </c>
      <c r="I104" s="5">
        <f>436.32</f>
        <v>436.32</v>
      </c>
      <c r="J104" s="5">
        <f>265</f>
        <v>265</v>
      </c>
      <c r="K104" s="5">
        <f>410</f>
        <v>410</v>
      </c>
      <c r="L104" s="5">
        <f t="shared" si="16"/>
        <v>3286.3</v>
      </c>
    </row>
    <row r="105" spans="1:12" x14ac:dyDescent="0.25">
      <c r="A105" s="3" t="s">
        <v>110</v>
      </c>
      <c r="B105" s="6">
        <f t="shared" ref="B105:K105" si="19">((((((((B96)+(B97))+(B98))+(B99))+(B100))+(B101))+(B102))+(B103))+(B104)</f>
        <v>1325.3400000000001</v>
      </c>
      <c r="C105" s="6">
        <f t="shared" si="19"/>
        <v>979.98</v>
      </c>
      <c r="D105" s="6">
        <f t="shared" si="19"/>
        <v>1098.6100000000001</v>
      </c>
      <c r="E105" s="6">
        <f t="shared" si="19"/>
        <v>1075.51</v>
      </c>
      <c r="F105" s="6">
        <f t="shared" si="19"/>
        <v>1063.95</v>
      </c>
      <c r="G105" s="6">
        <f t="shared" si="19"/>
        <v>305.90999999999997</v>
      </c>
      <c r="H105" s="6">
        <f t="shared" si="19"/>
        <v>3286.6199999999994</v>
      </c>
      <c r="I105" s="6">
        <f t="shared" si="19"/>
        <v>1903.0199999999998</v>
      </c>
      <c r="J105" s="6">
        <f t="shared" si="19"/>
        <v>2266.0500000000002</v>
      </c>
      <c r="K105" s="6">
        <f t="shared" si="19"/>
        <v>2683.5499999999997</v>
      </c>
      <c r="L105" s="6">
        <f t="shared" si="16"/>
        <v>15988.54</v>
      </c>
    </row>
    <row r="106" spans="1:12" x14ac:dyDescent="0.25">
      <c r="A106" s="3" t="s">
        <v>111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5">
        <f t="shared" si="16"/>
        <v>0</v>
      </c>
    </row>
    <row r="107" spans="1:12" x14ac:dyDescent="0.25">
      <c r="A107" s="3" t="s">
        <v>112</v>
      </c>
      <c r="B107" s="5">
        <f>393.34</f>
        <v>393.34</v>
      </c>
      <c r="C107" s="5">
        <f>809.75</f>
        <v>809.75</v>
      </c>
      <c r="D107" s="5">
        <f>217</f>
        <v>217</v>
      </c>
      <c r="E107" s="5">
        <f>122.18</f>
        <v>122.18</v>
      </c>
      <c r="F107" s="5">
        <f>831.42</f>
        <v>831.42</v>
      </c>
      <c r="G107" s="5">
        <f>180.58</f>
        <v>180.58</v>
      </c>
      <c r="H107" s="5">
        <f>195.97</f>
        <v>195.97</v>
      </c>
      <c r="I107" s="5">
        <f>220.37</f>
        <v>220.37</v>
      </c>
      <c r="J107" s="4"/>
      <c r="K107" s="5">
        <f>181.52</f>
        <v>181.52</v>
      </c>
      <c r="L107" s="5">
        <f t="shared" si="16"/>
        <v>3152.1299999999997</v>
      </c>
    </row>
    <row r="108" spans="1:12" x14ac:dyDescent="0.25">
      <c r="A108" s="3" t="s">
        <v>113</v>
      </c>
      <c r="B108" s="5">
        <f>32.87</f>
        <v>32.869999999999997</v>
      </c>
      <c r="C108" s="5">
        <f>25.57</f>
        <v>25.57</v>
      </c>
      <c r="D108" s="5">
        <f>25.05</f>
        <v>25.05</v>
      </c>
      <c r="E108" s="5">
        <f>32.16</f>
        <v>32.159999999999997</v>
      </c>
      <c r="F108" s="5">
        <f>23.68</f>
        <v>23.68</v>
      </c>
      <c r="G108" s="5">
        <f>25.3</f>
        <v>25.3</v>
      </c>
      <c r="H108" s="4"/>
      <c r="I108" s="4"/>
      <c r="J108" s="5">
        <f>89.61</f>
        <v>89.61</v>
      </c>
      <c r="K108" s="4"/>
      <c r="L108" s="5">
        <f t="shared" si="16"/>
        <v>254.24</v>
      </c>
    </row>
    <row r="109" spans="1:12" x14ac:dyDescent="0.25">
      <c r="A109" s="8" t="s">
        <v>114</v>
      </c>
      <c r="B109" s="5">
        <f>627.23</f>
        <v>627.23</v>
      </c>
      <c r="C109" s="5">
        <f>487.99</f>
        <v>487.99</v>
      </c>
      <c r="D109" s="5">
        <f>477.99</f>
        <v>477.99</v>
      </c>
      <c r="E109" s="5">
        <f>613.64</f>
        <v>613.64</v>
      </c>
      <c r="F109" s="5">
        <f>451.98</f>
        <v>451.98</v>
      </c>
      <c r="G109" s="5">
        <f>482.6</f>
        <v>482.6</v>
      </c>
      <c r="H109" s="4"/>
      <c r="I109" s="4"/>
      <c r="J109" s="5">
        <f>1709.79</f>
        <v>1709.79</v>
      </c>
      <c r="K109" s="4"/>
      <c r="L109" s="5">
        <f t="shared" si="16"/>
        <v>4851.2199999999993</v>
      </c>
    </row>
    <row r="110" spans="1:12" x14ac:dyDescent="0.25">
      <c r="A110" s="3" t="s">
        <v>115</v>
      </c>
      <c r="B110" s="4"/>
      <c r="C110" s="4"/>
      <c r="D110" s="4"/>
      <c r="E110" s="4"/>
      <c r="F110" s="4"/>
      <c r="G110" s="5">
        <f>100</f>
        <v>100</v>
      </c>
      <c r="H110" s="4"/>
      <c r="I110" s="4"/>
      <c r="J110" s="4"/>
      <c r="K110" s="4"/>
      <c r="L110" s="5">
        <f t="shared" ref="L110:L133" si="20">(((((((((B110)+(C110))+(D110))+(E110))+(F110))+(G110))+(H110))+(I110))+(J110))+(K110)</f>
        <v>100</v>
      </c>
    </row>
    <row r="111" spans="1:12" x14ac:dyDescent="0.25">
      <c r="A111" s="3" t="s">
        <v>116</v>
      </c>
      <c r="B111" s="6">
        <f t="shared" ref="B111:K111" si="21">((((B106)+(B107))+(B108))+(B109))+(B110)</f>
        <v>1053.44</v>
      </c>
      <c r="C111" s="6">
        <f t="shared" si="21"/>
        <v>1323.31</v>
      </c>
      <c r="D111" s="6">
        <f t="shared" si="21"/>
        <v>720.04</v>
      </c>
      <c r="E111" s="6">
        <f t="shared" si="21"/>
        <v>767.98</v>
      </c>
      <c r="F111" s="6">
        <f t="shared" si="21"/>
        <v>1307.08</v>
      </c>
      <c r="G111" s="6">
        <f t="shared" si="21"/>
        <v>788.48</v>
      </c>
      <c r="H111" s="6">
        <f t="shared" si="21"/>
        <v>195.97</v>
      </c>
      <c r="I111" s="6">
        <f t="shared" si="21"/>
        <v>220.37</v>
      </c>
      <c r="J111" s="6">
        <f t="shared" si="21"/>
        <v>1799.3999999999999</v>
      </c>
      <c r="K111" s="6">
        <f t="shared" si="21"/>
        <v>181.52</v>
      </c>
      <c r="L111" s="6">
        <f t="shared" si="20"/>
        <v>8357.59</v>
      </c>
    </row>
    <row r="112" spans="1:12" x14ac:dyDescent="0.25">
      <c r="A112" s="3" t="s">
        <v>117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5">
        <f t="shared" si="20"/>
        <v>0</v>
      </c>
    </row>
    <row r="113" spans="1:12" x14ac:dyDescent="0.25">
      <c r="A113" s="3" t="s">
        <v>118</v>
      </c>
      <c r="B113" s="5">
        <f>341.49</f>
        <v>341.49</v>
      </c>
      <c r="C113" s="5">
        <f>367.5</f>
        <v>367.5</v>
      </c>
      <c r="D113" s="5">
        <f>367.5</f>
        <v>367.5</v>
      </c>
      <c r="E113" s="5">
        <f>367.5</f>
        <v>367.5</v>
      </c>
      <c r="F113" s="5">
        <f>367.5</f>
        <v>367.5</v>
      </c>
      <c r="G113" s="5">
        <f>367.5</f>
        <v>367.5</v>
      </c>
      <c r="H113" s="5">
        <f>376.25</f>
        <v>376.25</v>
      </c>
      <c r="I113" s="5">
        <f>388.28</f>
        <v>388.28</v>
      </c>
      <c r="J113" s="5">
        <f>388.28</f>
        <v>388.28</v>
      </c>
      <c r="K113" s="5">
        <f>388.28</f>
        <v>388.28</v>
      </c>
      <c r="L113" s="5">
        <f t="shared" si="20"/>
        <v>3720.079999999999</v>
      </c>
    </row>
    <row r="114" spans="1:12" x14ac:dyDescent="0.25">
      <c r="A114" s="3" t="s">
        <v>119</v>
      </c>
      <c r="B114" s="5">
        <f>1241.6</f>
        <v>1241.5999999999999</v>
      </c>
      <c r="C114" s="5">
        <f>2022.72</f>
        <v>2022.72</v>
      </c>
      <c r="D114" s="5">
        <f>857.88</f>
        <v>857.88</v>
      </c>
      <c r="E114" s="5">
        <f>1218.83</f>
        <v>1218.83</v>
      </c>
      <c r="F114" s="4"/>
      <c r="G114" s="4"/>
      <c r="H114" s="4"/>
      <c r="I114" s="4"/>
      <c r="J114" s="4"/>
      <c r="K114" s="4"/>
      <c r="L114" s="5">
        <f t="shared" si="20"/>
        <v>5341.03</v>
      </c>
    </row>
    <row r="115" spans="1:12" x14ac:dyDescent="0.25">
      <c r="A115" s="3" t="s">
        <v>120</v>
      </c>
      <c r="B115" s="5">
        <f>905.39</f>
        <v>905.39</v>
      </c>
      <c r="C115" s="5">
        <f>10864.36</f>
        <v>10864.36</v>
      </c>
      <c r="D115" s="5">
        <f>3233.21</f>
        <v>3233.21</v>
      </c>
      <c r="E115" s="5">
        <f>-489.8</f>
        <v>-489.8</v>
      </c>
      <c r="F115" s="5">
        <f>6311.91</f>
        <v>6311.91</v>
      </c>
      <c r="G115" s="4"/>
      <c r="H115" s="4"/>
      <c r="I115" s="5">
        <f>541.88</f>
        <v>541.88</v>
      </c>
      <c r="J115" s="4"/>
      <c r="K115" s="4"/>
      <c r="L115" s="5">
        <f t="shared" si="20"/>
        <v>21366.95</v>
      </c>
    </row>
    <row r="116" spans="1:12" x14ac:dyDescent="0.25">
      <c r="A116" s="3" t="s">
        <v>121</v>
      </c>
      <c r="B116" s="5">
        <f>6600</f>
        <v>6600</v>
      </c>
      <c r="C116" s="5">
        <f>1100</f>
        <v>1100</v>
      </c>
      <c r="D116" s="4"/>
      <c r="E116" s="4"/>
      <c r="F116" s="4"/>
      <c r="G116" s="4"/>
      <c r="H116" s="4"/>
      <c r="I116" s="4"/>
      <c r="J116" s="4"/>
      <c r="K116" s="4"/>
      <c r="L116" s="5">
        <f t="shared" si="20"/>
        <v>7700</v>
      </c>
    </row>
    <row r="117" spans="1:12" x14ac:dyDescent="0.25">
      <c r="A117" s="3" t="s">
        <v>122</v>
      </c>
      <c r="B117" s="5">
        <f>4854.44</f>
        <v>4854.4399999999996</v>
      </c>
      <c r="C117" s="5">
        <f>831.13</f>
        <v>831.13</v>
      </c>
      <c r="D117" s="5">
        <f>7535.1</f>
        <v>7535.1</v>
      </c>
      <c r="E117" s="5">
        <f>176.8</f>
        <v>176.8</v>
      </c>
      <c r="F117" s="5">
        <f>1458.14</f>
        <v>1458.14</v>
      </c>
      <c r="G117" s="4"/>
      <c r="H117" s="4"/>
      <c r="I117" s="4"/>
      <c r="J117" s="4"/>
      <c r="K117" s="4"/>
      <c r="L117" s="5">
        <f t="shared" si="20"/>
        <v>14855.609999999999</v>
      </c>
    </row>
    <row r="118" spans="1:12" x14ac:dyDescent="0.25">
      <c r="A118" s="3" t="s">
        <v>123</v>
      </c>
      <c r="B118" s="4"/>
      <c r="C118" s="4"/>
      <c r="D118" s="5">
        <f>780.23</f>
        <v>780.23</v>
      </c>
      <c r="E118" s="5">
        <f>278.86</f>
        <v>278.86</v>
      </c>
      <c r="F118" s="4"/>
      <c r="G118" s="4"/>
      <c r="H118" s="4"/>
      <c r="I118" s="4"/>
      <c r="J118" s="4"/>
      <c r="K118" s="4"/>
      <c r="L118" s="5">
        <f t="shared" si="20"/>
        <v>1059.0900000000001</v>
      </c>
    </row>
    <row r="119" spans="1:12" x14ac:dyDescent="0.25">
      <c r="A119" s="3" t="s">
        <v>124</v>
      </c>
      <c r="B119" s="5">
        <f>317.99</f>
        <v>317.99</v>
      </c>
      <c r="C119" s="5">
        <f>48</f>
        <v>48</v>
      </c>
      <c r="D119" s="4"/>
      <c r="E119" s="5">
        <f>200</f>
        <v>200</v>
      </c>
      <c r="F119" s="4"/>
      <c r="G119" s="4"/>
      <c r="H119" s="4"/>
      <c r="I119" s="4"/>
      <c r="J119" s="4"/>
      <c r="K119" s="4"/>
      <c r="L119" s="5">
        <f t="shared" si="20"/>
        <v>565.99</v>
      </c>
    </row>
    <row r="120" spans="1:12" x14ac:dyDescent="0.25">
      <c r="A120" s="3" t="s">
        <v>125</v>
      </c>
      <c r="B120" s="4"/>
      <c r="C120" s="5">
        <f>443</f>
        <v>443</v>
      </c>
      <c r="D120" s="4"/>
      <c r="E120" s="4"/>
      <c r="F120" s="4"/>
      <c r="G120" s="4"/>
      <c r="H120" s="4"/>
      <c r="I120" s="5">
        <f>743.85</f>
        <v>743.85</v>
      </c>
      <c r="J120" s="5">
        <f>27.5</f>
        <v>27.5</v>
      </c>
      <c r="K120" s="5">
        <f>264.76</f>
        <v>264.76</v>
      </c>
      <c r="L120" s="5">
        <f t="shared" si="20"/>
        <v>1479.11</v>
      </c>
    </row>
    <row r="121" spans="1:12" x14ac:dyDescent="0.25">
      <c r="A121" s="3" t="s">
        <v>126</v>
      </c>
      <c r="B121" s="4"/>
      <c r="C121" s="5">
        <f>800</f>
        <v>800</v>
      </c>
      <c r="D121" s="4"/>
      <c r="E121" s="4"/>
      <c r="F121" s="5">
        <f>400</f>
        <v>400</v>
      </c>
      <c r="G121" s="4"/>
      <c r="H121" s="4"/>
      <c r="I121" s="4"/>
      <c r="J121" s="4"/>
      <c r="K121" s="5">
        <f>201.19</f>
        <v>201.19</v>
      </c>
      <c r="L121" s="5">
        <f t="shared" si="20"/>
        <v>1401.19</v>
      </c>
    </row>
    <row r="122" spans="1:12" x14ac:dyDescent="0.25">
      <c r="A122" s="3" t="s">
        <v>127</v>
      </c>
      <c r="B122" s="5">
        <f>1083</f>
        <v>1083</v>
      </c>
      <c r="C122" s="5">
        <f>256.6</f>
        <v>256.60000000000002</v>
      </c>
      <c r="D122" s="5">
        <f>100</f>
        <v>100</v>
      </c>
      <c r="E122" s="4"/>
      <c r="F122" s="4"/>
      <c r="G122" s="4"/>
      <c r="H122" s="4"/>
      <c r="I122" s="5">
        <f>100</f>
        <v>100</v>
      </c>
      <c r="J122" s="4"/>
      <c r="K122" s="4"/>
      <c r="L122" s="5">
        <f t="shared" si="20"/>
        <v>1539.6</v>
      </c>
    </row>
    <row r="123" spans="1:12" x14ac:dyDescent="0.25">
      <c r="A123" s="3" t="s">
        <v>128</v>
      </c>
      <c r="B123" s="5">
        <f>29200</f>
        <v>29200</v>
      </c>
      <c r="C123" s="5">
        <f>7192.97</f>
        <v>7192.97</v>
      </c>
      <c r="D123" s="5">
        <f>6500</f>
        <v>6500</v>
      </c>
      <c r="E123" s="5">
        <f>167.98</f>
        <v>167.98</v>
      </c>
      <c r="F123" s="4"/>
      <c r="G123" s="4"/>
      <c r="H123" s="4"/>
      <c r="I123" s="4"/>
      <c r="J123" s="4"/>
      <c r="K123" s="5">
        <f>1000</f>
        <v>1000</v>
      </c>
      <c r="L123" s="5">
        <f t="shared" si="20"/>
        <v>44060.950000000004</v>
      </c>
    </row>
    <row r="124" spans="1:12" x14ac:dyDescent="0.25">
      <c r="A124" s="3" t="s">
        <v>129</v>
      </c>
      <c r="B124" s="5">
        <f>11545</f>
        <v>11545</v>
      </c>
      <c r="C124" s="5">
        <f>2440</f>
        <v>2440</v>
      </c>
      <c r="D124" s="5">
        <f>2707.18</f>
        <v>2707.18</v>
      </c>
      <c r="E124" s="5">
        <f>2270</f>
        <v>2270</v>
      </c>
      <c r="F124" s="4"/>
      <c r="G124" s="4"/>
      <c r="H124" s="4"/>
      <c r="I124" s="4"/>
      <c r="J124" s="4"/>
      <c r="K124" s="4"/>
      <c r="L124" s="5">
        <f t="shared" si="20"/>
        <v>18962.18</v>
      </c>
    </row>
    <row r="125" spans="1:12" x14ac:dyDescent="0.25">
      <c r="A125" s="3" t="s">
        <v>130</v>
      </c>
      <c r="B125" s="5">
        <f>-142.56</f>
        <v>-142.56</v>
      </c>
      <c r="C125" s="5">
        <f>-38.99</f>
        <v>-38.99</v>
      </c>
      <c r="D125" s="4"/>
      <c r="E125" s="5">
        <f>80.92</f>
        <v>80.92</v>
      </c>
      <c r="F125" s="4"/>
      <c r="G125" s="5">
        <f>364.93</f>
        <v>364.93</v>
      </c>
      <c r="H125" s="4"/>
      <c r="I125" s="4"/>
      <c r="J125" s="4"/>
      <c r="K125" s="4"/>
      <c r="L125" s="5">
        <f t="shared" si="20"/>
        <v>264.3</v>
      </c>
    </row>
    <row r="126" spans="1:12" x14ac:dyDescent="0.25">
      <c r="A126" s="3" t="s">
        <v>131</v>
      </c>
      <c r="B126" s="5">
        <f>689.04</f>
        <v>689.04</v>
      </c>
      <c r="C126" s="5">
        <f>750</f>
        <v>750</v>
      </c>
      <c r="D126" s="5">
        <f>310</f>
        <v>310</v>
      </c>
      <c r="E126" s="5">
        <f>2440</f>
        <v>2440</v>
      </c>
      <c r="F126" s="5">
        <f>756.25</f>
        <v>756.25</v>
      </c>
      <c r="G126" s="4"/>
      <c r="H126" s="4"/>
      <c r="I126" s="4"/>
      <c r="J126" s="4"/>
      <c r="K126" s="4"/>
      <c r="L126" s="5">
        <f t="shared" si="20"/>
        <v>4945.29</v>
      </c>
    </row>
    <row r="127" spans="1:12" x14ac:dyDescent="0.25">
      <c r="A127" s="3" t="s">
        <v>132</v>
      </c>
      <c r="B127" s="4"/>
      <c r="C127" s="4"/>
      <c r="D127" s="4"/>
      <c r="E127" s="5">
        <f>875</f>
        <v>875</v>
      </c>
      <c r="F127" s="4"/>
      <c r="G127" s="4"/>
      <c r="H127" s="4"/>
      <c r="I127" s="4"/>
      <c r="J127" s="4"/>
      <c r="K127" s="4"/>
      <c r="L127" s="5">
        <f t="shared" si="20"/>
        <v>875</v>
      </c>
    </row>
    <row r="128" spans="1:12" x14ac:dyDescent="0.25">
      <c r="A128" s="3" t="s">
        <v>133</v>
      </c>
      <c r="B128" s="4"/>
      <c r="C128" s="5">
        <f>2646.37</f>
        <v>2646.37</v>
      </c>
      <c r="D128" s="5">
        <f>542.95</f>
        <v>542.95000000000005</v>
      </c>
      <c r="E128" s="4"/>
      <c r="F128" s="4"/>
      <c r="G128" s="4"/>
      <c r="H128" s="4"/>
      <c r="I128" s="4"/>
      <c r="J128" s="4"/>
      <c r="K128" s="5">
        <f>280</f>
        <v>280</v>
      </c>
      <c r="L128" s="5">
        <f t="shared" si="20"/>
        <v>3469.3199999999997</v>
      </c>
    </row>
    <row r="129" spans="1:12" x14ac:dyDescent="0.25">
      <c r="A129" s="3" t="s">
        <v>134</v>
      </c>
      <c r="B129" s="5">
        <f>-2344.47</f>
        <v>-2344.4699999999998</v>
      </c>
      <c r="C129" s="5">
        <f>129.66</f>
        <v>129.66</v>
      </c>
      <c r="D129" s="5">
        <f>2050</f>
        <v>2050</v>
      </c>
      <c r="E129" s="5">
        <f>-1650</f>
        <v>-1650</v>
      </c>
      <c r="F129" s="5">
        <f>-200</f>
        <v>-200</v>
      </c>
      <c r="G129" s="5">
        <f>450</f>
        <v>450</v>
      </c>
      <c r="H129" s="4"/>
      <c r="I129" s="4"/>
      <c r="J129" s="4"/>
      <c r="K129" s="4"/>
      <c r="L129" s="5">
        <f t="shared" si="20"/>
        <v>-1564.81</v>
      </c>
    </row>
    <row r="130" spans="1:12" x14ac:dyDescent="0.25">
      <c r="A130" s="3" t="s">
        <v>135</v>
      </c>
      <c r="B130" s="6">
        <f t="shared" ref="B130:K130" si="22">(((((((((((((((((B112)+(B113))+(B114))+(B115))+(B116))+(B117))+(B118))+(B119))+(B120))+(B121))+(B122))+(B123))+(B124))+(B125))+(B126))+(B127))+(B128))+(B129)</f>
        <v>54290.92</v>
      </c>
      <c r="C130" s="6">
        <f t="shared" si="22"/>
        <v>29853.319999999996</v>
      </c>
      <c r="D130" s="6">
        <f t="shared" si="22"/>
        <v>24984.05</v>
      </c>
      <c r="E130" s="6">
        <f t="shared" si="22"/>
        <v>5936.09</v>
      </c>
      <c r="F130" s="6">
        <f t="shared" si="22"/>
        <v>9093.7999999999993</v>
      </c>
      <c r="G130" s="6">
        <f t="shared" si="22"/>
        <v>1182.43</v>
      </c>
      <c r="H130" s="6">
        <f t="shared" si="22"/>
        <v>376.25</v>
      </c>
      <c r="I130" s="6">
        <f t="shared" si="22"/>
        <v>1774.01</v>
      </c>
      <c r="J130" s="6">
        <f t="shared" si="22"/>
        <v>415.78</v>
      </c>
      <c r="K130" s="6">
        <f t="shared" si="22"/>
        <v>2134.23</v>
      </c>
      <c r="L130" s="6">
        <f t="shared" si="20"/>
        <v>130040.87999999998</v>
      </c>
    </row>
    <row r="131" spans="1:12" x14ac:dyDescent="0.25">
      <c r="A131" s="3" t="s">
        <v>136</v>
      </c>
      <c r="B131" s="6">
        <f t="shared" ref="B131:K131" si="23">((((((((B49)+(B52))+(B59))+(B72))+(B88))+(B95))+(B105))+(B111))+(B130)</f>
        <v>81114.509999999995</v>
      </c>
      <c r="C131" s="6">
        <f t="shared" si="23"/>
        <v>51536.81</v>
      </c>
      <c r="D131" s="6">
        <f t="shared" si="23"/>
        <v>59568.350000000006</v>
      </c>
      <c r="E131" s="6">
        <f t="shared" si="23"/>
        <v>27020.87</v>
      </c>
      <c r="F131" s="6">
        <f t="shared" si="23"/>
        <v>36442.770000000004</v>
      </c>
      <c r="G131" s="6">
        <f t="shared" si="23"/>
        <v>16371.099999999999</v>
      </c>
      <c r="H131" s="6">
        <f t="shared" si="23"/>
        <v>20510.030000000002</v>
      </c>
      <c r="I131" s="6">
        <f t="shared" si="23"/>
        <v>20656.399999999998</v>
      </c>
      <c r="J131" s="6">
        <f t="shared" si="23"/>
        <v>18363.7</v>
      </c>
      <c r="K131" s="6">
        <f t="shared" si="23"/>
        <v>29786.99</v>
      </c>
      <c r="L131" s="6">
        <f t="shared" si="20"/>
        <v>361371.53</v>
      </c>
    </row>
    <row r="132" spans="1:12" x14ac:dyDescent="0.25">
      <c r="A132" s="3" t="s">
        <v>137</v>
      </c>
      <c r="B132" s="6">
        <f t="shared" ref="B132:K132" si="24">(B44)-(B131)</f>
        <v>64407.810000000012</v>
      </c>
      <c r="C132" s="6">
        <f t="shared" si="24"/>
        <v>-21763.959999999995</v>
      </c>
      <c r="D132" s="6">
        <f t="shared" si="24"/>
        <v>-57570.55</v>
      </c>
      <c r="E132" s="6">
        <f t="shared" si="24"/>
        <v>11948.439999999999</v>
      </c>
      <c r="F132" s="6">
        <f t="shared" si="24"/>
        <v>11970.729999999996</v>
      </c>
      <c r="G132" s="6">
        <f t="shared" si="24"/>
        <v>25462.11</v>
      </c>
      <c r="H132" s="6">
        <f t="shared" si="24"/>
        <v>-8467.9800000000014</v>
      </c>
      <c r="I132" s="6">
        <f t="shared" si="24"/>
        <v>-15353.919999999998</v>
      </c>
      <c r="J132" s="6">
        <f t="shared" si="24"/>
        <v>27029.100000000002</v>
      </c>
      <c r="K132" s="6">
        <f t="shared" si="24"/>
        <v>-20000.5</v>
      </c>
      <c r="L132" s="6">
        <f t="shared" si="20"/>
        <v>17661.280000000013</v>
      </c>
    </row>
    <row r="133" spans="1:12" ht="15.75" thickBot="1" x14ac:dyDescent="0.3">
      <c r="A133" s="3" t="s">
        <v>138</v>
      </c>
      <c r="B133" s="7">
        <f t="shared" ref="B133:K133" si="25">(B132)+(0)</f>
        <v>64407.810000000012</v>
      </c>
      <c r="C133" s="7">
        <f t="shared" si="25"/>
        <v>-21763.959999999995</v>
      </c>
      <c r="D133" s="7">
        <f t="shared" si="25"/>
        <v>-57570.55</v>
      </c>
      <c r="E133" s="7">
        <f t="shared" si="25"/>
        <v>11948.439999999999</v>
      </c>
      <c r="F133" s="7">
        <f t="shared" si="25"/>
        <v>11970.729999999996</v>
      </c>
      <c r="G133" s="7">
        <f t="shared" si="25"/>
        <v>25462.11</v>
      </c>
      <c r="H133" s="7">
        <f t="shared" si="25"/>
        <v>-8467.9800000000014</v>
      </c>
      <c r="I133" s="7">
        <f t="shared" si="25"/>
        <v>-15353.919999999998</v>
      </c>
      <c r="J133" s="7">
        <f t="shared" si="25"/>
        <v>27029.100000000002</v>
      </c>
      <c r="K133" s="7">
        <f t="shared" si="25"/>
        <v>-20000.5</v>
      </c>
      <c r="L133" s="7">
        <f t="shared" si="20"/>
        <v>17661.280000000013</v>
      </c>
    </row>
    <row r="134" spans="1:12" ht="23.25" x14ac:dyDescent="0.25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2" t="s">
        <v>143</v>
      </c>
    </row>
    <row r="135" spans="1:12" ht="15.75" thickBot="1" x14ac:dyDescent="0.3">
      <c r="K135" s="9"/>
      <c r="L135" s="13">
        <f>-L28-L31+L109</f>
        <v>-59138.420000000006</v>
      </c>
    </row>
    <row r="136" spans="1:12" ht="15.75" thickBot="1" x14ac:dyDescent="0.3">
      <c r="K136" s="10" t="s">
        <v>144</v>
      </c>
      <c r="L136" s="11">
        <f>+L133+L135</f>
        <v>-41477.139999999992</v>
      </c>
    </row>
    <row r="137" spans="1:12" x14ac:dyDescent="0.25">
      <c r="A137" s="14" t="s">
        <v>139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</sheetData>
  <mergeCells count="4">
    <mergeCell ref="A137:L137"/>
    <mergeCell ref="A1:L1"/>
    <mergeCell ref="A2:L2"/>
    <mergeCell ref="A3:L3"/>
  </mergeCells>
  <pageMargins left="0.7" right="0.7" top="0.75" bottom="0.75" header="0.3" footer="0.3"/>
  <pageSetup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Ginger Greaves</cp:lastModifiedBy>
  <cp:lastPrinted>2024-05-07T14:53:57Z</cp:lastPrinted>
  <dcterms:created xsi:type="dcterms:W3CDTF">2024-05-07T14:50:03Z</dcterms:created>
  <dcterms:modified xsi:type="dcterms:W3CDTF">2024-05-21T18:30:05Z</dcterms:modified>
</cp:coreProperties>
</file>