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47a91696090a0753/Desktop/"/>
    </mc:Choice>
  </mc:AlternateContent>
  <xr:revisionPtr revIDLastSave="0" documentId="8_{349FCABB-A02D-42FF-B34C-1E2E23F04361}" xr6:coauthVersionLast="47" xr6:coauthVersionMax="47" xr10:uidLastSave="{00000000-0000-0000-0000-000000000000}"/>
  <bookViews>
    <workbookView xWindow="390" yWindow="390" windowWidth="25830" windowHeight="15480" xr2:uid="{00000000-000D-0000-FFFF-FFFF00000000}"/>
  </bookViews>
  <sheets>
    <sheet name="Profit and Loss" sheetId="1" r:id="rId1"/>
  </sheets>
  <definedNames>
    <definedName name="_xlnm.Print_Area" localSheetId="0">'Profit and Loss'!$A$1:$B$79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B73" i="1"/>
  <c r="B75" i="1" s="1"/>
  <c r="B70" i="1"/>
  <c r="B69" i="1"/>
  <c r="B71" i="1" s="1"/>
  <c r="B66" i="1"/>
  <c r="B65" i="1"/>
  <c r="B64" i="1"/>
  <c r="B63" i="1"/>
  <c r="B67" i="1" s="1"/>
  <c r="B60" i="1"/>
  <c r="B59" i="1"/>
  <c r="B58" i="1"/>
  <c r="B61" i="1" s="1"/>
  <c r="B55" i="1"/>
  <c r="B54" i="1"/>
  <c r="B53" i="1"/>
  <c r="B52" i="1"/>
  <c r="B51" i="1"/>
  <c r="B50" i="1"/>
  <c r="B49" i="1"/>
  <c r="B48" i="1"/>
  <c r="B56" i="1" s="1"/>
  <c r="B45" i="1"/>
  <c r="B44" i="1"/>
  <c r="B46" i="1" s="1"/>
  <c r="B43" i="1"/>
  <c r="B42" i="1"/>
  <c r="B41" i="1"/>
  <c r="B38" i="1"/>
  <c r="B37" i="1"/>
  <c r="B36" i="1"/>
  <c r="B39" i="1" s="1"/>
  <c r="B34" i="1"/>
  <c r="B33" i="1"/>
  <c r="B27" i="1"/>
  <c r="B28" i="1" s="1"/>
  <c r="B24" i="1"/>
  <c r="B23" i="1"/>
  <c r="B25" i="1" s="1"/>
  <c r="B22" i="1"/>
  <c r="B21" i="1"/>
  <c r="B20" i="1"/>
  <c r="B18" i="1"/>
  <c r="B17" i="1"/>
  <c r="B15" i="1"/>
  <c r="B14" i="1"/>
  <c r="B12" i="1"/>
  <c r="B11" i="1"/>
  <c r="B9" i="1"/>
  <c r="B8" i="1"/>
  <c r="B76" i="1" l="1"/>
  <c r="B29" i="1"/>
  <c r="B30" i="1" s="1"/>
  <c r="B77" i="1" s="1"/>
  <c r="B78" i="1" s="1"/>
</calcChain>
</file>

<file path=xl/sharedStrings.xml><?xml version="1.0" encoding="utf-8"?>
<sst xmlns="http://schemas.openxmlformats.org/spreadsheetml/2006/main" count="78" uniqueCount="78">
  <si>
    <t>Santa Rosa Plateau Foundation</t>
  </si>
  <si>
    <t>Profit and Loss</t>
  </si>
  <si>
    <t>March 2024</t>
  </si>
  <si>
    <t>Total</t>
  </si>
  <si>
    <t>Income</t>
  </si>
  <si>
    <t xml:space="preserve">   4000 Direct contributions</t>
  </si>
  <si>
    <t xml:space="preserve">      4010 Unsolicited contributions</t>
  </si>
  <si>
    <t xml:space="preserve">   Total 4000 Direct contributions</t>
  </si>
  <si>
    <t xml:space="preserve">   4200 Non-government grants</t>
  </si>
  <si>
    <t xml:space="preserve">      4210 Corporate/business grants</t>
  </si>
  <si>
    <t xml:space="preserve">   Total 4200 Non-government grants</t>
  </si>
  <si>
    <t xml:space="preserve">   5100 Program-related sales &amp; fees</t>
  </si>
  <si>
    <t xml:space="preserve">      5110 Family Wildlife Day</t>
  </si>
  <si>
    <t xml:space="preserve">   Total 5100 Program-related sales &amp; fees</t>
  </si>
  <si>
    <t xml:space="preserve">   5200 Dues</t>
  </si>
  <si>
    <t xml:space="preserve">      5210 Membership dues-individuals</t>
  </si>
  <si>
    <t xml:space="preserve">   Total 5200 Dues</t>
  </si>
  <si>
    <t xml:space="preserve">   5300 Investment Income</t>
  </si>
  <si>
    <t xml:space="preserve">      5310 Interest-savings &amp; investments</t>
  </si>
  <si>
    <t xml:space="preserve">      5311 Interest -1083 EllisInvestment</t>
  </si>
  <si>
    <t xml:space="preserve">      5320 Dividends &amp; interest-securities</t>
  </si>
  <si>
    <t xml:space="preserve">      5360 Other investment income</t>
  </si>
  <si>
    <t xml:space="preserve">      5361 Other Investment 1083 Ellis</t>
  </si>
  <si>
    <t xml:space="preserve">   Total 5300 Investment Income</t>
  </si>
  <si>
    <t xml:space="preserve">   5400 Other sources</t>
  </si>
  <si>
    <t xml:space="preserve">      5450 Scholarship revenue</t>
  </si>
  <si>
    <t xml:space="preserve">   Total 5400 Other sources</t>
  </si>
  <si>
    <t>Total Income</t>
  </si>
  <si>
    <t>Gross Profit</t>
  </si>
  <si>
    <t>Expenses</t>
  </si>
  <si>
    <t xml:space="preserve">   7200 Salaries &amp; related expenses</t>
  </si>
  <si>
    <t xml:space="preserve">      7250 Payroll taxes, etc.</t>
  </si>
  <si>
    <t xml:space="preserve">   Total 7200 Salaries &amp; related expenses</t>
  </si>
  <si>
    <t xml:space="preserve">   7500 Contract service expenses</t>
  </si>
  <si>
    <t xml:space="preserve">      7526 Payroll Tax Preparation</t>
  </si>
  <si>
    <t xml:space="preserve">      7540 Professional fees - other</t>
  </si>
  <si>
    <t xml:space="preserve">      7550 Other Professional- contract</t>
  </si>
  <si>
    <t xml:space="preserve">   Total 7500 Contract service expenses</t>
  </si>
  <si>
    <t xml:space="preserve">   8000 Program related expenses</t>
  </si>
  <si>
    <t xml:space="preserve">      8005 Salaries&amp;Wages - Programs</t>
  </si>
  <si>
    <t xml:space="preserve">      8020 Climate Change (Habitat)</t>
  </si>
  <si>
    <t xml:space="preserve">      8077 NERF Forum</t>
  </si>
  <si>
    <t xml:space="preserve">      8079 Junior Ranger Program</t>
  </si>
  <si>
    <t xml:space="preserve">      8080 Other-Ambassadors</t>
  </si>
  <si>
    <t xml:space="preserve">   Total 8000 Program related expenses</t>
  </si>
  <si>
    <t xml:space="preserve">   8100 Program suppport  expenses</t>
  </si>
  <si>
    <t xml:space="preserve">      8105 Salaries&amp; Wages-Program Support</t>
  </si>
  <si>
    <t xml:space="preserve">      8110 Supplies</t>
  </si>
  <si>
    <t xml:space="preserve">      8120 Website services</t>
  </si>
  <si>
    <t xml:space="preserve">      8130 Telephone &amp; telecommunications</t>
  </si>
  <si>
    <t xml:space="preserve">      8150 Social Media/Newsletters</t>
  </si>
  <si>
    <t xml:space="preserve">      8170 Printing &amp; copying</t>
  </si>
  <si>
    <t xml:space="preserve">      8171 Member education</t>
  </si>
  <si>
    <t xml:space="preserve">      8190 Exec. Dir. mileage expense</t>
  </si>
  <si>
    <t xml:space="preserve">   Total 8100 Program suppport  expenses</t>
  </si>
  <si>
    <t xml:space="preserve">   8200 Administrative expenses</t>
  </si>
  <si>
    <t xml:space="preserve">      8205 Salaries&amp;Wages-Administration</t>
  </si>
  <si>
    <t xml:space="preserve">      8221 Utilities</t>
  </si>
  <si>
    <t xml:space="preserve">      8225 Telephone expense</t>
  </si>
  <si>
    <t xml:space="preserve">   Total 8200 Administrative expenses</t>
  </si>
  <si>
    <t xml:space="preserve">   8500 Administrative Other expenses</t>
  </si>
  <si>
    <t xml:space="preserve">      8515 Insurance - General Liab &amp; D&amp;O</t>
  </si>
  <si>
    <t xml:space="preserve">      8560 Outside computer services</t>
  </si>
  <si>
    <t xml:space="preserve">      8565 Office supplies</t>
  </si>
  <si>
    <t xml:space="preserve">      8590 Other expenses</t>
  </si>
  <si>
    <t xml:space="preserve">   Total 8500 Administrative Other expenses</t>
  </si>
  <si>
    <t xml:space="preserve">   8600 Administrative Bus    expenses</t>
  </si>
  <si>
    <t xml:space="preserve">      8611 Service Fee-Investments</t>
  </si>
  <si>
    <t xml:space="preserve">      8612 Service Fee-Invest 1083 Ellis</t>
  </si>
  <si>
    <t xml:space="preserve">   Total 8600 Administrative Bus    expenses</t>
  </si>
  <si>
    <t xml:space="preserve">   8700 Fund Raising Event expenses</t>
  </si>
  <si>
    <t xml:space="preserve">      8705 Salaries &amp; Wages - Fund Raising</t>
  </si>
  <si>
    <t xml:space="preserve">      8750 Printing</t>
  </si>
  <si>
    <t xml:space="preserve">   Total 8700 Fund Raising Event expenses</t>
  </si>
  <si>
    <t>Total Expenses</t>
  </si>
  <si>
    <t>Net Operating Income</t>
  </si>
  <si>
    <t>Net Income</t>
  </si>
  <si>
    <t>Wednesday, Apr 17, 2024 12:28:30 PM GMT-7 - Cash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</si>
</sst>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2"/>
  <sheetViews>
    <sheetView tabSelected="1" workbookViewId="0">
      <selection sqref="A1:B1"/>
    </sheetView>
  </sheetViews>
  <sheetFormatPr defaultRowHeight="15" x14ac:dyDescent="0.25"/>
  <cols>
    <col min="1" max="1" width="38.7109375" customWidth="1"/>
    <col min="2" max="2" width="25.7109375" customWidth="1"/>
  </cols>
  <sheetData>
    <row r="1" spans="1:2" ht="18" x14ac:dyDescent="0.25">
      <c r="A1" s="9" t="s">
        <v>0</v>
      </c>
      <c r="B1" s="8"/>
    </row>
    <row r="2" spans="1:2" ht="18" x14ac:dyDescent="0.25">
      <c r="A2" s="9" t="s">
        <v>1</v>
      </c>
      <c r="B2" s="8"/>
    </row>
    <row r="3" spans="1:2" x14ac:dyDescent="0.25">
      <c r="A3" s="10" t="s">
        <v>2</v>
      </c>
      <c r="B3" s="8"/>
    </row>
    <row r="5" spans="1:2" x14ac:dyDescent="0.25">
      <c r="A5" s="1"/>
      <c r="B5" s="2" t="s">
        <v>3</v>
      </c>
    </row>
    <row r="6" spans="1:2" x14ac:dyDescent="0.25">
      <c r="A6" s="3" t="s">
        <v>4</v>
      </c>
      <c r="B6" s="4"/>
    </row>
    <row r="7" spans="1:2" x14ac:dyDescent="0.25">
      <c r="A7" s="3" t="s">
        <v>5</v>
      </c>
      <c r="B7" s="4"/>
    </row>
    <row r="8" spans="1:2" x14ac:dyDescent="0.25">
      <c r="A8" s="3" t="s">
        <v>6</v>
      </c>
      <c r="B8" s="5">
        <f>6485</f>
        <v>6485</v>
      </c>
    </row>
    <row r="9" spans="1:2" x14ac:dyDescent="0.25">
      <c r="A9" s="3" t="s">
        <v>7</v>
      </c>
      <c r="B9" s="6">
        <f>(B7)+(B8)</f>
        <v>6485</v>
      </c>
    </row>
    <row r="10" spans="1:2" x14ac:dyDescent="0.25">
      <c r="A10" s="3" t="s">
        <v>8</v>
      </c>
      <c r="B10" s="4"/>
    </row>
    <row r="11" spans="1:2" x14ac:dyDescent="0.25">
      <c r="A11" s="3" t="s">
        <v>9</v>
      </c>
      <c r="B11" s="5">
        <f>2500</f>
        <v>2500</v>
      </c>
    </row>
    <row r="12" spans="1:2" x14ac:dyDescent="0.25">
      <c r="A12" s="3" t="s">
        <v>10</v>
      </c>
      <c r="B12" s="6">
        <f>(B10)+(B11)</f>
        <v>2500</v>
      </c>
    </row>
    <row r="13" spans="1:2" x14ac:dyDescent="0.25">
      <c r="A13" s="3" t="s">
        <v>11</v>
      </c>
      <c r="B13" s="4"/>
    </row>
    <row r="14" spans="1:2" x14ac:dyDescent="0.25">
      <c r="A14" s="3" t="s">
        <v>12</v>
      </c>
      <c r="B14" s="5">
        <f>548</f>
        <v>548</v>
      </c>
    </row>
    <row r="15" spans="1:2" x14ac:dyDescent="0.25">
      <c r="A15" s="3" t="s">
        <v>13</v>
      </c>
      <c r="B15" s="6">
        <f>(B13)+(B14)</f>
        <v>548</v>
      </c>
    </row>
    <row r="16" spans="1:2" x14ac:dyDescent="0.25">
      <c r="A16" s="3" t="s">
        <v>14</v>
      </c>
      <c r="B16" s="4"/>
    </row>
    <row r="17" spans="1:2" x14ac:dyDescent="0.25">
      <c r="A17" s="3" t="s">
        <v>15</v>
      </c>
      <c r="B17" s="5">
        <f>5245</f>
        <v>5245</v>
      </c>
    </row>
    <row r="18" spans="1:2" x14ac:dyDescent="0.25">
      <c r="A18" s="3" t="s">
        <v>16</v>
      </c>
      <c r="B18" s="6">
        <f>(B16)+(B17)</f>
        <v>5245</v>
      </c>
    </row>
    <row r="19" spans="1:2" x14ac:dyDescent="0.25">
      <c r="A19" s="3" t="s">
        <v>17</v>
      </c>
      <c r="B19" s="4"/>
    </row>
    <row r="20" spans="1:2" x14ac:dyDescent="0.25">
      <c r="A20" s="3" t="s">
        <v>18</v>
      </c>
      <c r="B20" s="5">
        <f>15.89</f>
        <v>15.89</v>
      </c>
    </row>
    <row r="21" spans="1:2" x14ac:dyDescent="0.25">
      <c r="A21" s="3" t="s">
        <v>19</v>
      </c>
      <c r="B21" s="5">
        <f>303.28</f>
        <v>303.27999999999997</v>
      </c>
    </row>
    <row r="22" spans="1:2" x14ac:dyDescent="0.25">
      <c r="A22" s="3" t="s">
        <v>20</v>
      </c>
      <c r="B22" s="5">
        <f>2.87</f>
        <v>2.87</v>
      </c>
    </row>
    <row r="23" spans="1:2" x14ac:dyDescent="0.25">
      <c r="A23" s="3" t="s">
        <v>21</v>
      </c>
      <c r="B23" s="5">
        <f>664.38</f>
        <v>664.38</v>
      </c>
    </row>
    <row r="24" spans="1:2" x14ac:dyDescent="0.25">
      <c r="A24" s="3" t="s">
        <v>22</v>
      </c>
      <c r="B24" s="5">
        <f>12679.01</f>
        <v>12679.01</v>
      </c>
    </row>
    <row r="25" spans="1:2" x14ac:dyDescent="0.25">
      <c r="A25" s="3" t="s">
        <v>23</v>
      </c>
      <c r="B25" s="6">
        <f>(((((B19)+(B20))+(B21))+(B22))+(B23))+(B24)</f>
        <v>13665.43</v>
      </c>
    </row>
    <row r="26" spans="1:2" x14ac:dyDescent="0.25">
      <c r="A26" s="3" t="s">
        <v>24</v>
      </c>
      <c r="B26" s="4"/>
    </row>
    <row r="27" spans="1:2" x14ac:dyDescent="0.25">
      <c r="A27" s="3" t="s">
        <v>25</v>
      </c>
      <c r="B27" s="5">
        <f>1000</f>
        <v>1000</v>
      </c>
    </row>
    <row r="28" spans="1:2" x14ac:dyDescent="0.25">
      <c r="A28" s="3" t="s">
        <v>26</v>
      </c>
      <c r="B28" s="6">
        <f>(B26)+(B27)</f>
        <v>1000</v>
      </c>
    </row>
    <row r="29" spans="1:2" x14ac:dyDescent="0.25">
      <c r="A29" s="3" t="s">
        <v>27</v>
      </c>
      <c r="B29" s="6">
        <f>(((((B9)+(B12))+(B15))+(B18))+(B25))+(B28)</f>
        <v>29443.43</v>
      </c>
    </row>
    <row r="30" spans="1:2" x14ac:dyDescent="0.25">
      <c r="A30" s="3" t="s">
        <v>28</v>
      </c>
      <c r="B30" s="6">
        <f>(B29)-(0)</f>
        <v>29443.43</v>
      </c>
    </row>
    <row r="31" spans="1:2" x14ac:dyDescent="0.25">
      <c r="A31" s="3" t="s">
        <v>29</v>
      </c>
      <c r="B31" s="4"/>
    </row>
    <row r="32" spans="1:2" x14ac:dyDescent="0.25">
      <c r="A32" s="3" t="s">
        <v>30</v>
      </c>
      <c r="B32" s="4"/>
    </row>
    <row r="33" spans="1:2" x14ac:dyDescent="0.25">
      <c r="A33" s="3" t="s">
        <v>31</v>
      </c>
      <c r="B33" s="5">
        <f>931.66</f>
        <v>931.66</v>
      </c>
    </row>
    <row r="34" spans="1:2" x14ac:dyDescent="0.25">
      <c r="A34" s="3" t="s">
        <v>32</v>
      </c>
      <c r="B34" s="6">
        <f>(B32)+(B33)</f>
        <v>931.66</v>
      </c>
    </row>
    <row r="35" spans="1:2" x14ac:dyDescent="0.25">
      <c r="A35" s="3" t="s">
        <v>33</v>
      </c>
      <c r="B35" s="4"/>
    </row>
    <row r="36" spans="1:2" x14ac:dyDescent="0.25">
      <c r="A36" s="3" t="s">
        <v>34</v>
      </c>
      <c r="B36" s="5">
        <f>218</f>
        <v>218</v>
      </c>
    </row>
    <row r="37" spans="1:2" x14ac:dyDescent="0.25">
      <c r="A37" s="3" t="s">
        <v>35</v>
      </c>
      <c r="B37" s="5">
        <f>600</f>
        <v>600</v>
      </c>
    </row>
    <row r="38" spans="1:2" x14ac:dyDescent="0.25">
      <c r="A38" s="3" t="s">
        <v>36</v>
      </c>
      <c r="B38" s="5">
        <f>840</f>
        <v>840</v>
      </c>
    </row>
    <row r="39" spans="1:2" x14ac:dyDescent="0.25">
      <c r="A39" s="3" t="s">
        <v>37</v>
      </c>
      <c r="B39" s="6">
        <f>(((B35)+(B36))+(B37))+(B38)</f>
        <v>1658</v>
      </c>
    </row>
    <row r="40" spans="1:2" x14ac:dyDescent="0.25">
      <c r="A40" s="3" t="s">
        <v>38</v>
      </c>
      <c r="B40" s="4"/>
    </row>
    <row r="41" spans="1:2" x14ac:dyDescent="0.25">
      <c r="A41" s="3" t="s">
        <v>39</v>
      </c>
      <c r="B41" s="5">
        <f>4770.14</f>
        <v>4770.1400000000003</v>
      </c>
    </row>
    <row r="42" spans="1:2" x14ac:dyDescent="0.25">
      <c r="A42" s="3" t="s">
        <v>40</v>
      </c>
      <c r="B42" s="5">
        <f>736.88</f>
        <v>736.88</v>
      </c>
    </row>
    <row r="43" spans="1:2" x14ac:dyDescent="0.25">
      <c r="A43" s="3" t="s">
        <v>41</v>
      </c>
      <c r="B43" s="5">
        <f>233.35</f>
        <v>233.35</v>
      </c>
    </row>
    <row r="44" spans="1:2" x14ac:dyDescent="0.25">
      <c r="A44" s="3" t="s">
        <v>42</v>
      </c>
      <c r="B44" s="5">
        <f>-1738</f>
        <v>-1738</v>
      </c>
    </row>
    <row r="45" spans="1:2" x14ac:dyDescent="0.25">
      <c r="A45" s="3" t="s">
        <v>43</v>
      </c>
      <c r="B45" s="5">
        <f>383.86</f>
        <v>383.86</v>
      </c>
    </row>
    <row r="46" spans="1:2" x14ac:dyDescent="0.25">
      <c r="A46" s="3" t="s">
        <v>44</v>
      </c>
      <c r="B46" s="6">
        <f>(((((B40)+(B41))+(B42))+(B43))+(B44))+(B45)</f>
        <v>4386.2300000000005</v>
      </c>
    </row>
    <row r="47" spans="1:2" x14ac:dyDescent="0.25">
      <c r="A47" s="3" t="s">
        <v>45</v>
      </c>
      <c r="B47" s="4"/>
    </row>
    <row r="48" spans="1:2" x14ac:dyDescent="0.25">
      <c r="A48" s="3" t="s">
        <v>46</v>
      </c>
      <c r="B48" s="5">
        <f>6070.5</f>
        <v>6070.5</v>
      </c>
    </row>
    <row r="49" spans="1:2" x14ac:dyDescent="0.25">
      <c r="A49" s="3" t="s">
        <v>47</v>
      </c>
      <c r="B49" s="5">
        <f>35.06</f>
        <v>35.06</v>
      </c>
    </row>
    <row r="50" spans="1:2" x14ac:dyDescent="0.25">
      <c r="A50" s="3" t="s">
        <v>48</v>
      </c>
      <c r="B50" s="5">
        <f>450</f>
        <v>450</v>
      </c>
    </row>
    <row r="51" spans="1:2" x14ac:dyDescent="0.25">
      <c r="A51" s="3" t="s">
        <v>49</v>
      </c>
      <c r="B51" s="5">
        <f>-159.46</f>
        <v>-159.46</v>
      </c>
    </row>
    <row r="52" spans="1:2" x14ac:dyDescent="0.25">
      <c r="A52" s="3" t="s">
        <v>50</v>
      </c>
      <c r="B52" s="5">
        <f>300</f>
        <v>300</v>
      </c>
    </row>
    <row r="53" spans="1:2" x14ac:dyDescent="0.25">
      <c r="A53" s="3" t="s">
        <v>51</v>
      </c>
      <c r="B53" s="5">
        <f>229.88</f>
        <v>229.88</v>
      </c>
    </row>
    <row r="54" spans="1:2" x14ac:dyDescent="0.25">
      <c r="A54" s="3" t="s">
        <v>52</v>
      </c>
      <c r="B54" s="5">
        <f>700.75</f>
        <v>700.75</v>
      </c>
    </row>
    <row r="55" spans="1:2" x14ac:dyDescent="0.25">
      <c r="A55" s="3" t="s">
        <v>53</v>
      </c>
      <c r="B55" s="5">
        <f>200</f>
        <v>200</v>
      </c>
    </row>
    <row r="56" spans="1:2" x14ac:dyDescent="0.25">
      <c r="A56" s="3" t="s">
        <v>54</v>
      </c>
      <c r="B56" s="6">
        <f>((((((((B47)+(B48))+(B49))+(B50))+(B51))+(B52))+(B53))+(B54))+(B55)</f>
        <v>7826.7300000000005</v>
      </c>
    </row>
    <row r="57" spans="1:2" x14ac:dyDescent="0.25">
      <c r="A57" s="3" t="s">
        <v>55</v>
      </c>
      <c r="B57" s="4"/>
    </row>
    <row r="58" spans="1:2" x14ac:dyDescent="0.25">
      <c r="A58" s="3" t="s">
        <v>56</v>
      </c>
      <c r="B58" s="5">
        <f>388.26</f>
        <v>388.26</v>
      </c>
    </row>
    <row r="59" spans="1:2" x14ac:dyDescent="0.25">
      <c r="A59" s="3" t="s">
        <v>57</v>
      </c>
      <c r="B59" s="5">
        <f>-1650</f>
        <v>-1650</v>
      </c>
    </row>
    <row r="60" spans="1:2" x14ac:dyDescent="0.25">
      <c r="A60" s="3" t="s">
        <v>58</v>
      </c>
      <c r="B60" s="5">
        <f>341.59</f>
        <v>341.59</v>
      </c>
    </row>
    <row r="61" spans="1:2" x14ac:dyDescent="0.25">
      <c r="A61" s="3" t="s">
        <v>59</v>
      </c>
      <c r="B61" s="6">
        <f>(((B57)+(B58))+(B59))+(B60)</f>
        <v>-920.15000000000009</v>
      </c>
    </row>
    <row r="62" spans="1:2" x14ac:dyDescent="0.25">
      <c r="A62" s="3" t="s">
        <v>60</v>
      </c>
      <c r="B62" s="4"/>
    </row>
    <row r="63" spans="1:2" x14ac:dyDescent="0.25">
      <c r="A63" s="3" t="s">
        <v>61</v>
      </c>
      <c r="B63" s="5">
        <f>768</f>
        <v>768</v>
      </c>
    </row>
    <row r="64" spans="1:2" x14ac:dyDescent="0.25">
      <c r="A64" s="3" t="s">
        <v>62</v>
      </c>
      <c r="B64" s="5">
        <f>987.53</f>
        <v>987.53</v>
      </c>
    </row>
    <row r="65" spans="1:2" x14ac:dyDescent="0.25">
      <c r="A65" s="3" t="s">
        <v>63</v>
      </c>
      <c r="B65" s="5">
        <f>245.52</f>
        <v>245.52</v>
      </c>
    </row>
    <row r="66" spans="1:2" x14ac:dyDescent="0.25">
      <c r="A66" s="3" t="s">
        <v>64</v>
      </c>
      <c r="B66" s="5">
        <f>265</f>
        <v>265</v>
      </c>
    </row>
    <row r="67" spans="1:2" x14ac:dyDescent="0.25">
      <c r="A67" s="3" t="s">
        <v>65</v>
      </c>
      <c r="B67" s="6">
        <f>((((B62)+(B63))+(B64))+(B65))+(B66)</f>
        <v>2266.0500000000002</v>
      </c>
    </row>
    <row r="68" spans="1:2" x14ac:dyDescent="0.25">
      <c r="A68" s="3" t="s">
        <v>66</v>
      </c>
      <c r="B68" s="4"/>
    </row>
    <row r="69" spans="1:2" x14ac:dyDescent="0.25">
      <c r="A69" s="3" t="s">
        <v>67</v>
      </c>
      <c r="B69" s="5">
        <f>62.71</f>
        <v>62.71</v>
      </c>
    </row>
    <row r="70" spans="1:2" x14ac:dyDescent="0.25">
      <c r="A70" s="3" t="s">
        <v>68</v>
      </c>
      <c r="B70" s="5">
        <f>1196.58</f>
        <v>1196.58</v>
      </c>
    </row>
    <row r="71" spans="1:2" x14ac:dyDescent="0.25">
      <c r="A71" s="3" t="s">
        <v>69</v>
      </c>
      <c r="B71" s="6">
        <f>((B68)+(B69))+(B70)</f>
        <v>1259.29</v>
      </c>
    </row>
    <row r="72" spans="1:2" x14ac:dyDescent="0.25">
      <c r="A72" s="3" t="s">
        <v>70</v>
      </c>
      <c r="B72" s="4"/>
    </row>
    <row r="73" spans="1:2" x14ac:dyDescent="0.25">
      <c r="A73" s="3" t="s">
        <v>71</v>
      </c>
      <c r="B73" s="5">
        <f>388.28</f>
        <v>388.28</v>
      </c>
    </row>
    <row r="74" spans="1:2" x14ac:dyDescent="0.25">
      <c r="A74" s="3" t="s">
        <v>72</v>
      </c>
      <c r="B74" s="5">
        <f>27.5</f>
        <v>27.5</v>
      </c>
    </row>
    <row r="75" spans="1:2" x14ac:dyDescent="0.25">
      <c r="A75" s="3" t="s">
        <v>73</v>
      </c>
      <c r="B75" s="6">
        <f>((B72)+(B73))+(B74)</f>
        <v>415.78</v>
      </c>
    </row>
    <row r="76" spans="1:2" x14ac:dyDescent="0.25">
      <c r="A76" s="3" t="s">
        <v>74</v>
      </c>
      <c r="B76" s="6">
        <f>(((((((B34)+(B39))+(B46))+(B56))+(B61))+(B67))+(B71))+(B75)</f>
        <v>17823.59</v>
      </c>
    </row>
    <row r="77" spans="1:2" x14ac:dyDescent="0.25">
      <c r="A77" s="3" t="s">
        <v>75</v>
      </c>
      <c r="B77" s="6">
        <f>(B30)-(B76)</f>
        <v>11619.84</v>
      </c>
    </row>
    <row r="78" spans="1:2" x14ac:dyDescent="0.25">
      <c r="A78" s="3" t="s">
        <v>76</v>
      </c>
      <c r="B78" s="6">
        <f>(B77)+(0)</f>
        <v>11619.84</v>
      </c>
    </row>
    <row r="79" spans="1:2" x14ac:dyDescent="0.25">
      <c r="A79" s="3"/>
      <c r="B79" s="4"/>
    </row>
    <row r="82" spans="1:2" x14ac:dyDescent="0.25">
      <c r="A82" s="7" t="s">
        <v>77</v>
      </c>
      <c r="B82" s="8"/>
    </row>
  </sheetData>
  <mergeCells count="4">
    <mergeCell ref="A82:B82"/>
    <mergeCell ref="A1:B1"/>
    <mergeCell ref="A2:B2"/>
    <mergeCell ref="A3:B3"/>
  </mergeCells>
  <pageMargins left="0.7" right="0.7" top="0.75" bottom="0.75" header="0.3" footer="0.3"/>
  <pageSetup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and Loss</vt:lpstr>
      <vt:lpstr>'Profit and Loss'!Print_Area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Kurt Peck</cp:lastModifiedBy>
  <cp:revision/>
  <dcterms:created xsi:type="dcterms:W3CDTF">2024-04-17T19:28:30Z</dcterms:created>
  <dcterms:modified xsi:type="dcterms:W3CDTF">2024-04-23T22:23:16Z</dcterms:modified>
  <cp:category/>
  <cp:contentStatus/>
</cp:coreProperties>
</file>