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7a91696090a0753/Desktop/"/>
    </mc:Choice>
  </mc:AlternateContent>
  <xr:revisionPtr revIDLastSave="0" documentId="8_{D187DE73-A33F-4189-9026-1C6DA5871C59}" xr6:coauthVersionLast="47" xr6:coauthVersionMax="47" xr10:uidLastSave="{00000000-0000-0000-0000-000000000000}"/>
  <bookViews>
    <workbookView xWindow="1560" yWindow="0" windowWidth="25830" windowHeight="15480" xr2:uid="{00000000-000D-0000-FFFF-FFFF00000000}"/>
  </bookViews>
  <sheets>
    <sheet name="Budget vs. Actuals" sheetId="1" r:id="rId1"/>
  </sheets>
  <definedNames>
    <definedName name="_xlnm.Print_Area" localSheetId="0">'Budget vs. Actuals'!$A$1:$AO$149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46" i="1" l="1"/>
  <c r="AS145" i="1"/>
  <c r="AS144" i="1"/>
  <c r="AQ147" i="1" l="1"/>
  <c r="AQ146" i="1"/>
  <c r="AQ145" i="1"/>
  <c r="AQ144" i="1"/>
  <c r="AM144" i="1"/>
  <c r="AO144" i="1" s="1"/>
  <c r="AK144" i="1"/>
  <c r="AJ144" i="1"/>
  <c r="AG144" i="1"/>
  <c r="AF144" i="1"/>
  <c r="AC144" i="1"/>
  <c r="AB144" i="1"/>
  <c r="Y144" i="1"/>
  <c r="V144" i="1"/>
  <c r="X144" i="1" s="1"/>
  <c r="U144" i="1"/>
  <c r="T144" i="1"/>
  <c r="R144" i="1"/>
  <c r="Q144" i="1"/>
  <c r="N144" i="1"/>
  <c r="P144" i="1" s="1"/>
  <c r="M144" i="1"/>
  <c r="J144" i="1"/>
  <c r="L144" i="1" s="1"/>
  <c r="I144" i="1"/>
  <c r="F144" i="1"/>
  <c r="H144" i="1" s="1"/>
  <c r="E144" i="1"/>
  <c r="B144" i="1"/>
  <c r="D144" i="1" s="1"/>
  <c r="AJ143" i="1"/>
  <c r="AI143" i="1"/>
  <c r="AK143" i="1" s="1"/>
  <c r="AG143" i="1"/>
  <c r="AE143" i="1"/>
  <c r="AF143" i="1" s="1"/>
  <c r="AC143" i="1"/>
  <c r="AA143" i="1"/>
  <c r="AB143" i="1" s="1"/>
  <c r="Y143" i="1"/>
  <c r="W143" i="1"/>
  <c r="X143" i="1" s="1"/>
  <c r="S143" i="1"/>
  <c r="U143" i="1" s="1"/>
  <c r="O143" i="1"/>
  <c r="P143" i="1" s="1"/>
  <c r="M143" i="1"/>
  <c r="L143" i="1"/>
  <c r="K143" i="1"/>
  <c r="J143" i="1"/>
  <c r="G143" i="1"/>
  <c r="F143" i="1"/>
  <c r="I143" i="1" s="1"/>
  <c r="E143" i="1"/>
  <c r="D143" i="1"/>
  <c r="C143" i="1"/>
  <c r="AK142" i="1"/>
  <c r="AI142" i="1"/>
  <c r="AJ142" i="1" s="1"/>
  <c r="AE142" i="1"/>
  <c r="AA142" i="1"/>
  <c r="AB142" i="1" s="1"/>
  <c r="Y142" i="1"/>
  <c r="X142" i="1"/>
  <c r="W142" i="1"/>
  <c r="U142" i="1"/>
  <c r="T142" i="1"/>
  <c r="S142" i="1"/>
  <c r="P142" i="1"/>
  <c r="O142" i="1"/>
  <c r="Q142" i="1" s="1"/>
  <c r="N142" i="1"/>
  <c r="AL142" i="1" s="1"/>
  <c r="K142" i="1"/>
  <c r="G142" i="1"/>
  <c r="H142" i="1" s="1"/>
  <c r="E142" i="1"/>
  <c r="D142" i="1"/>
  <c r="C142" i="1"/>
  <c r="AK141" i="1"/>
  <c r="AI141" i="1"/>
  <c r="AJ141" i="1" s="1"/>
  <c r="AE141" i="1"/>
  <c r="AA141" i="1"/>
  <c r="AB141" i="1" s="1"/>
  <c r="Y141" i="1"/>
  <c r="X141" i="1"/>
  <c r="W141" i="1"/>
  <c r="U141" i="1"/>
  <c r="T141" i="1"/>
  <c r="S141" i="1"/>
  <c r="R141" i="1"/>
  <c r="Q141" i="1"/>
  <c r="O141" i="1"/>
  <c r="P141" i="1" s="1"/>
  <c r="N141" i="1"/>
  <c r="M141" i="1"/>
  <c r="L141" i="1"/>
  <c r="K141" i="1"/>
  <c r="J141" i="1"/>
  <c r="I141" i="1"/>
  <c r="G141" i="1"/>
  <c r="H141" i="1" s="1"/>
  <c r="F141" i="1"/>
  <c r="E141" i="1"/>
  <c r="D141" i="1"/>
  <c r="C141" i="1"/>
  <c r="B141" i="1"/>
  <c r="AL141" i="1" s="1"/>
  <c r="AK140" i="1"/>
  <c r="AJ140" i="1"/>
  <c r="AI140" i="1"/>
  <c r="AF140" i="1"/>
  <c r="AE140" i="1"/>
  <c r="AG140" i="1" s="1"/>
  <c r="AC140" i="1"/>
  <c r="AA140" i="1"/>
  <c r="AB140" i="1" s="1"/>
  <c r="Y140" i="1"/>
  <c r="W140" i="1"/>
  <c r="V140" i="1"/>
  <c r="X140" i="1" s="1"/>
  <c r="U140" i="1"/>
  <c r="T140" i="1"/>
  <c r="S140" i="1"/>
  <c r="Q140" i="1"/>
  <c r="P140" i="1"/>
  <c r="O140" i="1"/>
  <c r="N140" i="1"/>
  <c r="M140" i="1"/>
  <c r="K140" i="1"/>
  <c r="L140" i="1" s="1"/>
  <c r="G140" i="1"/>
  <c r="F140" i="1"/>
  <c r="D140" i="1"/>
  <c r="C140" i="1"/>
  <c r="E140" i="1" s="1"/>
  <c r="B140" i="1"/>
  <c r="AL140" i="1" s="1"/>
  <c r="AJ139" i="1"/>
  <c r="AI139" i="1"/>
  <c r="AK139" i="1" s="1"/>
  <c r="AG139" i="1"/>
  <c r="AE139" i="1"/>
  <c r="AF139" i="1" s="1"/>
  <c r="AC139" i="1"/>
  <c r="AA139" i="1"/>
  <c r="AB139" i="1" s="1"/>
  <c r="Y139" i="1"/>
  <c r="W139" i="1"/>
  <c r="X139" i="1" s="1"/>
  <c r="S139" i="1"/>
  <c r="O139" i="1"/>
  <c r="Q139" i="1" s="1"/>
  <c r="N139" i="1"/>
  <c r="P139" i="1" s="1"/>
  <c r="K139" i="1"/>
  <c r="J139" i="1"/>
  <c r="G139" i="1"/>
  <c r="I139" i="1" s="1"/>
  <c r="F139" i="1"/>
  <c r="H139" i="1" s="1"/>
  <c r="E139" i="1"/>
  <c r="C139" i="1"/>
  <c r="B139" i="1"/>
  <c r="AK138" i="1"/>
  <c r="AI138" i="1"/>
  <c r="AJ138" i="1" s="1"/>
  <c r="AG138" i="1"/>
  <c r="AE138" i="1"/>
  <c r="AF138" i="1" s="1"/>
  <c r="AA138" i="1"/>
  <c r="W138" i="1"/>
  <c r="S138" i="1"/>
  <c r="T138" i="1" s="1"/>
  <c r="Q138" i="1"/>
  <c r="P138" i="1"/>
  <c r="O138" i="1"/>
  <c r="N138" i="1"/>
  <c r="M138" i="1"/>
  <c r="K138" i="1"/>
  <c r="J138" i="1"/>
  <c r="L138" i="1" s="1"/>
  <c r="I138" i="1"/>
  <c r="H138" i="1"/>
  <c r="G138" i="1"/>
  <c r="F138" i="1"/>
  <c r="E138" i="1"/>
  <c r="C138" i="1"/>
  <c r="B138" i="1"/>
  <c r="AL138" i="1" s="1"/>
  <c r="AL137" i="1"/>
  <c r="AK137" i="1"/>
  <c r="AI137" i="1"/>
  <c r="AJ137" i="1" s="1"/>
  <c r="AE137" i="1"/>
  <c r="AD137" i="1"/>
  <c r="AC137" i="1"/>
  <c r="AB137" i="1"/>
  <c r="AA137" i="1"/>
  <c r="X137" i="1"/>
  <c r="W137" i="1"/>
  <c r="Y137" i="1" s="1"/>
  <c r="U137" i="1"/>
  <c r="S137" i="1"/>
  <c r="T137" i="1" s="1"/>
  <c r="Q137" i="1"/>
  <c r="O137" i="1"/>
  <c r="P137" i="1" s="1"/>
  <c r="K137" i="1"/>
  <c r="J137" i="1"/>
  <c r="I137" i="1"/>
  <c r="H137" i="1"/>
  <c r="G137" i="1"/>
  <c r="F137" i="1"/>
  <c r="C137" i="1"/>
  <c r="B137" i="1"/>
  <c r="AO136" i="1"/>
  <c r="AN136" i="1"/>
  <c r="AM136" i="1"/>
  <c r="AK136" i="1"/>
  <c r="AJ136" i="1"/>
  <c r="AG136" i="1"/>
  <c r="AF136" i="1"/>
  <c r="AC136" i="1"/>
  <c r="AB136" i="1"/>
  <c r="Y136" i="1"/>
  <c r="X136" i="1"/>
  <c r="U136" i="1"/>
  <c r="R136" i="1"/>
  <c r="T136" i="1" s="1"/>
  <c r="Q136" i="1"/>
  <c r="P136" i="1"/>
  <c r="M136" i="1"/>
  <c r="L136" i="1"/>
  <c r="I136" i="1"/>
  <c r="H136" i="1"/>
  <c r="F136" i="1"/>
  <c r="AL136" i="1" s="1"/>
  <c r="E136" i="1"/>
  <c r="D136" i="1"/>
  <c r="AI135" i="1"/>
  <c r="AJ135" i="1" s="1"/>
  <c r="AH135" i="1"/>
  <c r="AG135" i="1"/>
  <c r="AF135" i="1"/>
  <c r="AE135" i="1"/>
  <c r="AD135" i="1"/>
  <c r="AA135" i="1"/>
  <c r="AB135" i="1" s="1"/>
  <c r="W135" i="1"/>
  <c r="S135" i="1"/>
  <c r="Q135" i="1"/>
  <c r="P135" i="1"/>
  <c r="O135" i="1"/>
  <c r="M135" i="1"/>
  <c r="L135" i="1"/>
  <c r="K135" i="1"/>
  <c r="G135" i="1"/>
  <c r="I135" i="1" s="1"/>
  <c r="F135" i="1"/>
  <c r="C135" i="1"/>
  <c r="AK134" i="1"/>
  <c r="AI134" i="1"/>
  <c r="AJ134" i="1" s="1"/>
  <c r="AG134" i="1"/>
  <c r="AF134" i="1"/>
  <c r="AE134" i="1"/>
  <c r="AC134" i="1"/>
  <c r="AA134" i="1"/>
  <c r="AB134" i="1" s="1"/>
  <c r="W134" i="1"/>
  <c r="S134" i="1"/>
  <c r="Q134" i="1"/>
  <c r="P134" i="1"/>
  <c r="O134" i="1"/>
  <c r="N134" i="1"/>
  <c r="AL134" i="1" s="1"/>
  <c r="M134" i="1"/>
  <c r="L134" i="1"/>
  <c r="K134" i="1"/>
  <c r="G134" i="1"/>
  <c r="H134" i="1" s="1"/>
  <c r="F134" i="1"/>
  <c r="E134" i="1"/>
  <c r="D134" i="1"/>
  <c r="C134" i="1"/>
  <c r="B134" i="1"/>
  <c r="AK133" i="1"/>
  <c r="AJ133" i="1"/>
  <c r="AI133" i="1"/>
  <c r="AF133" i="1"/>
  <c r="AE133" i="1"/>
  <c r="AG133" i="1" s="1"/>
  <c r="AC133" i="1"/>
  <c r="AA133" i="1"/>
  <c r="AB133" i="1" s="1"/>
  <c r="Y133" i="1"/>
  <c r="X133" i="1"/>
  <c r="W133" i="1"/>
  <c r="S133" i="1"/>
  <c r="T133" i="1" s="1"/>
  <c r="O133" i="1"/>
  <c r="N133" i="1"/>
  <c r="L133" i="1"/>
  <c r="K133" i="1"/>
  <c r="J133" i="1"/>
  <c r="AL133" i="1" s="1"/>
  <c r="G133" i="1"/>
  <c r="C133" i="1"/>
  <c r="AK132" i="1"/>
  <c r="AJ132" i="1"/>
  <c r="AI132" i="1"/>
  <c r="AE132" i="1"/>
  <c r="AF132" i="1" s="1"/>
  <c r="AA132" i="1"/>
  <c r="W132" i="1"/>
  <c r="U132" i="1"/>
  <c r="T132" i="1"/>
  <c r="S132" i="1"/>
  <c r="R132" i="1"/>
  <c r="Q132" i="1"/>
  <c r="O132" i="1"/>
  <c r="N132" i="1"/>
  <c r="P132" i="1" s="1"/>
  <c r="L132" i="1"/>
  <c r="K132" i="1"/>
  <c r="J132" i="1"/>
  <c r="M132" i="1" s="1"/>
  <c r="I132" i="1"/>
  <c r="G132" i="1"/>
  <c r="F132" i="1"/>
  <c r="H132" i="1" s="1"/>
  <c r="E132" i="1"/>
  <c r="D132" i="1"/>
  <c r="C132" i="1"/>
  <c r="AM132" i="1" s="1"/>
  <c r="B132" i="1"/>
  <c r="AL132" i="1" s="1"/>
  <c r="AN132" i="1" s="1"/>
  <c r="AO131" i="1"/>
  <c r="AL131" i="1"/>
  <c r="AK131" i="1"/>
  <c r="AJ131" i="1"/>
  <c r="AI131" i="1"/>
  <c r="AG131" i="1"/>
  <c r="AF131" i="1"/>
  <c r="AE131" i="1"/>
  <c r="AB131" i="1"/>
  <c r="AA131" i="1"/>
  <c r="AC131" i="1" s="1"/>
  <c r="Y131" i="1"/>
  <c r="W131" i="1"/>
  <c r="X131" i="1" s="1"/>
  <c r="U131" i="1"/>
  <c r="T131" i="1"/>
  <c r="S131" i="1"/>
  <c r="Q131" i="1"/>
  <c r="P131" i="1"/>
  <c r="O131" i="1"/>
  <c r="K131" i="1"/>
  <c r="G131" i="1"/>
  <c r="E131" i="1"/>
  <c r="D131" i="1"/>
  <c r="C131" i="1"/>
  <c r="AM131" i="1" s="1"/>
  <c r="AK130" i="1"/>
  <c r="AJ130" i="1"/>
  <c r="AI130" i="1"/>
  <c r="AE130" i="1"/>
  <c r="AA130" i="1"/>
  <c r="Y130" i="1"/>
  <c r="X130" i="1"/>
  <c r="W130" i="1"/>
  <c r="U130" i="1"/>
  <c r="T130" i="1"/>
  <c r="S130" i="1"/>
  <c r="O130" i="1"/>
  <c r="Q130" i="1" s="1"/>
  <c r="M130" i="1"/>
  <c r="K130" i="1"/>
  <c r="L130" i="1" s="1"/>
  <c r="I130" i="1"/>
  <c r="G130" i="1"/>
  <c r="F130" i="1"/>
  <c r="H130" i="1" s="1"/>
  <c r="E130" i="1"/>
  <c r="D130" i="1"/>
  <c r="C130" i="1"/>
  <c r="B130" i="1"/>
  <c r="AK129" i="1"/>
  <c r="AJ129" i="1"/>
  <c r="AI129" i="1"/>
  <c r="AG129" i="1"/>
  <c r="AF129" i="1"/>
  <c r="AE129" i="1"/>
  <c r="AD129" i="1"/>
  <c r="AC129" i="1"/>
  <c r="AB129" i="1"/>
  <c r="AA129" i="1"/>
  <c r="W129" i="1"/>
  <c r="S129" i="1"/>
  <c r="U129" i="1" s="1"/>
  <c r="R129" i="1"/>
  <c r="T129" i="1" s="1"/>
  <c r="Q129" i="1"/>
  <c r="O129" i="1"/>
  <c r="N129" i="1"/>
  <c r="P129" i="1" s="1"/>
  <c r="K129" i="1"/>
  <c r="M129" i="1" s="1"/>
  <c r="J129" i="1"/>
  <c r="G129" i="1"/>
  <c r="F129" i="1"/>
  <c r="H129" i="1" s="1"/>
  <c r="C129" i="1"/>
  <c r="B129" i="1"/>
  <c r="D129" i="1" s="1"/>
  <c r="AL128" i="1"/>
  <c r="AI128" i="1"/>
  <c r="AG128" i="1"/>
  <c r="AF128" i="1"/>
  <c r="AE128" i="1"/>
  <c r="AC128" i="1"/>
  <c r="AB128" i="1"/>
  <c r="AA128" i="1"/>
  <c r="X128" i="1"/>
  <c r="W128" i="1"/>
  <c r="Y128" i="1" s="1"/>
  <c r="U128" i="1"/>
  <c r="S128" i="1"/>
  <c r="T128" i="1" s="1"/>
  <c r="Q128" i="1"/>
  <c r="O128" i="1"/>
  <c r="N128" i="1"/>
  <c r="P128" i="1" s="1"/>
  <c r="M128" i="1"/>
  <c r="L128" i="1"/>
  <c r="K128" i="1"/>
  <c r="J128" i="1"/>
  <c r="I128" i="1"/>
  <c r="G128" i="1"/>
  <c r="F128" i="1"/>
  <c r="H128" i="1" s="1"/>
  <c r="E128" i="1"/>
  <c r="D128" i="1"/>
  <c r="C128" i="1"/>
  <c r="B128" i="1"/>
  <c r="AK127" i="1"/>
  <c r="AJ127" i="1"/>
  <c r="AI127" i="1"/>
  <c r="AI145" i="1" s="1"/>
  <c r="AH127" i="1"/>
  <c r="AH145" i="1" s="1"/>
  <c r="AJ145" i="1" s="1"/>
  <c r="AG127" i="1"/>
  <c r="AE127" i="1"/>
  <c r="AD127" i="1"/>
  <c r="AC127" i="1"/>
  <c r="AB127" i="1"/>
  <c r="AA127" i="1"/>
  <c r="Z127" i="1"/>
  <c r="Z145" i="1" s="1"/>
  <c r="Y127" i="1"/>
  <c r="W127" i="1"/>
  <c r="W145" i="1" s="1"/>
  <c r="V127" i="1"/>
  <c r="U127" i="1"/>
  <c r="T127" i="1"/>
  <c r="S127" i="1"/>
  <c r="R127" i="1"/>
  <c r="O127" i="1"/>
  <c r="N127" i="1"/>
  <c r="M127" i="1"/>
  <c r="L127" i="1"/>
  <c r="K127" i="1"/>
  <c r="J127" i="1"/>
  <c r="J145" i="1" s="1"/>
  <c r="G127" i="1"/>
  <c r="G145" i="1" s="1"/>
  <c r="F127" i="1"/>
  <c r="E127" i="1"/>
  <c r="D127" i="1"/>
  <c r="C127" i="1"/>
  <c r="AM127" i="1" s="1"/>
  <c r="B127" i="1"/>
  <c r="AO126" i="1"/>
  <c r="AM126" i="1"/>
  <c r="AL126" i="1"/>
  <c r="AN126" i="1" s="1"/>
  <c r="AK126" i="1"/>
  <c r="AJ126" i="1"/>
  <c r="AG126" i="1"/>
  <c r="AF126" i="1"/>
  <c r="AC126" i="1"/>
  <c r="AB126" i="1"/>
  <c r="Y126" i="1"/>
  <c r="X126" i="1"/>
  <c r="U126" i="1"/>
  <c r="T126" i="1"/>
  <c r="Q126" i="1"/>
  <c r="P126" i="1"/>
  <c r="M126" i="1"/>
  <c r="L126" i="1"/>
  <c r="I126" i="1"/>
  <c r="H126" i="1"/>
  <c r="E126" i="1"/>
  <c r="D126" i="1"/>
  <c r="Z125" i="1"/>
  <c r="J125" i="1"/>
  <c r="AL124" i="1"/>
  <c r="AI124" i="1"/>
  <c r="AG124" i="1"/>
  <c r="AE124" i="1"/>
  <c r="AF124" i="1" s="1"/>
  <c r="AC124" i="1"/>
  <c r="AB124" i="1"/>
  <c r="AA124" i="1"/>
  <c r="W124" i="1"/>
  <c r="V124" i="1"/>
  <c r="U124" i="1"/>
  <c r="T124" i="1"/>
  <c r="S124" i="1"/>
  <c r="O124" i="1"/>
  <c r="Q124" i="1" s="1"/>
  <c r="M124" i="1"/>
  <c r="K124" i="1"/>
  <c r="L124" i="1" s="1"/>
  <c r="I124" i="1"/>
  <c r="H124" i="1"/>
  <c r="G124" i="1"/>
  <c r="C124" i="1"/>
  <c r="E124" i="1" s="1"/>
  <c r="AM123" i="1"/>
  <c r="AJ123" i="1"/>
  <c r="AI123" i="1"/>
  <c r="AK123" i="1" s="1"/>
  <c r="AH123" i="1"/>
  <c r="AE123" i="1"/>
  <c r="AA123" i="1"/>
  <c r="Y123" i="1"/>
  <c r="X123" i="1"/>
  <c r="W123" i="1"/>
  <c r="V123" i="1"/>
  <c r="U123" i="1"/>
  <c r="S123" i="1"/>
  <c r="R123" i="1"/>
  <c r="T123" i="1" s="1"/>
  <c r="Q123" i="1"/>
  <c r="P123" i="1"/>
  <c r="O123" i="1"/>
  <c r="N123" i="1"/>
  <c r="M123" i="1"/>
  <c r="K123" i="1"/>
  <c r="J123" i="1"/>
  <c r="L123" i="1" s="1"/>
  <c r="G123" i="1"/>
  <c r="F123" i="1"/>
  <c r="I123" i="1" s="1"/>
  <c r="E123" i="1"/>
  <c r="C123" i="1"/>
  <c r="B123" i="1"/>
  <c r="AI122" i="1"/>
  <c r="AH122" i="1"/>
  <c r="AJ122" i="1" s="1"/>
  <c r="AG122" i="1"/>
  <c r="AF122" i="1"/>
  <c r="AE122" i="1"/>
  <c r="AC122" i="1"/>
  <c r="AB122" i="1"/>
  <c r="AA122" i="1"/>
  <c r="W122" i="1"/>
  <c r="V122" i="1"/>
  <c r="X122" i="1" s="1"/>
  <c r="T122" i="1"/>
  <c r="S122" i="1"/>
  <c r="U122" i="1" s="1"/>
  <c r="R122" i="1"/>
  <c r="O122" i="1"/>
  <c r="N122" i="1"/>
  <c r="P122" i="1" s="1"/>
  <c r="K122" i="1"/>
  <c r="J122" i="1"/>
  <c r="G122" i="1"/>
  <c r="F122" i="1"/>
  <c r="AL122" i="1" s="1"/>
  <c r="C122" i="1"/>
  <c r="B122" i="1"/>
  <c r="AI121" i="1"/>
  <c r="AK121" i="1" s="1"/>
  <c r="AE121" i="1"/>
  <c r="AD121" i="1"/>
  <c r="AA121" i="1"/>
  <c r="Z121" i="1"/>
  <c r="W121" i="1"/>
  <c r="Y121" i="1" s="1"/>
  <c r="V121" i="1"/>
  <c r="S121" i="1"/>
  <c r="S125" i="1" s="1"/>
  <c r="R121" i="1"/>
  <c r="T121" i="1" s="1"/>
  <c r="O121" i="1"/>
  <c r="N121" i="1"/>
  <c r="M121" i="1"/>
  <c r="K121" i="1"/>
  <c r="J121" i="1"/>
  <c r="G121" i="1"/>
  <c r="I121" i="1" s="1"/>
  <c r="F121" i="1"/>
  <c r="C121" i="1"/>
  <c r="C125" i="1" s="1"/>
  <c r="B121" i="1"/>
  <c r="AM120" i="1"/>
  <c r="AO120" i="1" s="1"/>
  <c r="AL120" i="1"/>
  <c r="AK120" i="1"/>
  <c r="AJ120" i="1"/>
  <c r="AG120" i="1"/>
  <c r="AF120" i="1"/>
  <c r="AC120" i="1"/>
  <c r="AB120" i="1"/>
  <c r="Y120" i="1"/>
  <c r="X120" i="1"/>
  <c r="U120" i="1"/>
  <c r="T120" i="1"/>
  <c r="Q120" i="1"/>
  <c r="P120" i="1"/>
  <c r="M120" i="1"/>
  <c r="L120" i="1"/>
  <c r="I120" i="1"/>
  <c r="H120" i="1"/>
  <c r="E120" i="1"/>
  <c r="D120" i="1"/>
  <c r="AI118" i="1"/>
  <c r="AH118" i="1"/>
  <c r="AE118" i="1"/>
  <c r="AF118" i="1" s="1"/>
  <c r="AD118" i="1"/>
  <c r="AA118" i="1"/>
  <c r="Z118" i="1"/>
  <c r="W118" i="1"/>
  <c r="X118" i="1" s="1"/>
  <c r="V118" i="1"/>
  <c r="S118" i="1"/>
  <c r="R118" i="1"/>
  <c r="O118" i="1"/>
  <c r="P118" i="1" s="1"/>
  <c r="N118" i="1"/>
  <c r="K118" i="1"/>
  <c r="J118" i="1"/>
  <c r="G118" i="1"/>
  <c r="H118" i="1" s="1"/>
  <c r="F118" i="1"/>
  <c r="C118" i="1"/>
  <c r="B118" i="1"/>
  <c r="AL118" i="1" s="1"/>
  <c r="AL117" i="1"/>
  <c r="AI117" i="1"/>
  <c r="AF117" i="1"/>
  <c r="AE117" i="1"/>
  <c r="AG117" i="1" s="1"/>
  <c r="AC117" i="1"/>
  <c r="AB117" i="1"/>
  <c r="AA117" i="1"/>
  <c r="Y117" i="1"/>
  <c r="X117" i="1"/>
  <c r="W117" i="1"/>
  <c r="U117" i="1"/>
  <c r="T117" i="1"/>
  <c r="S117" i="1"/>
  <c r="O117" i="1"/>
  <c r="Q117" i="1" s="1"/>
  <c r="K117" i="1"/>
  <c r="I117" i="1"/>
  <c r="H117" i="1"/>
  <c r="G117" i="1"/>
  <c r="C117" i="1"/>
  <c r="AM117" i="1" s="1"/>
  <c r="AM116" i="1"/>
  <c r="AO116" i="1" s="1"/>
  <c r="AK116" i="1"/>
  <c r="AJ116" i="1"/>
  <c r="AG116" i="1"/>
  <c r="AF116" i="1"/>
  <c r="AC116" i="1"/>
  <c r="AB116" i="1"/>
  <c r="Y116" i="1"/>
  <c r="X116" i="1"/>
  <c r="U116" i="1"/>
  <c r="T116" i="1"/>
  <c r="Q116" i="1"/>
  <c r="P116" i="1"/>
  <c r="M116" i="1"/>
  <c r="J116" i="1"/>
  <c r="I116" i="1"/>
  <c r="H116" i="1"/>
  <c r="E116" i="1"/>
  <c r="D116" i="1"/>
  <c r="AI115" i="1"/>
  <c r="AH115" i="1"/>
  <c r="AK115" i="1" s="1"/>
  <c r="AE115" i="1"/>
  <c r="AD115" i="1"/>
  <c r="AF115" i="1" s="1"/>
  <c r="AA115" i="1"/>
  <c r="Z115" i="1"/>
  <c r="AC115" i="1" s="1"/>
  <c r="W115" i="1"/>
  <c r="V115" i="1"/>
  <c r="X115" i="1" s="1"/>
  <c r="S115" i="1"/>
  <c r="R115" i="1"/>
  <c r="U115" i="1" s="1"/>
  <c r="O115" i="1"/>
  <c r="N115" i="1"/>
  <c r="M115" i="1"/>
  <c r="L115" i="1"/>
  <c r="K115" i="1"/>
  <c r="G115" i="1"/>
  <c r="I115" i="1" s="1"/>
  <c r="F115" i="1"/>
  <c r="H115" i="1" s="1"/>
  <c r="E115" i="1"/>
  <c r="D115" i="1"/>
  <c r="C115" i="1"/>
  <c r="B115" i="1"/>
  <c r="AK114" i="1"/>
  <c r="AJ114" i="1"/>
  <c r="AI114" i="1"/>
  <c r="AH114" i="1"/>
  <c r="AE114" i="1"/>
  <c r="AG114" i="1" s="1"/>
  <c r="AD114" i="1"/>
  <c r="AF114" i="1" s="1"/>
  <c r="AC114" i="1"/>
  <c r="AB114" i="1"/>
  <c r="AA114" i="1"/>
  <c r="Z114" i="1"/>
  <c r="W114" i="1"/>
  <c r="Y114" i="1" s="1"/>
  <c r="V114" i="1"/>
  <c r="U114" i="1"/>
  <c r="T114" i="1"/>
  <c r="S114" i="1"/>
  <c r="R114" i="1"/>
  <c r="O114" i="1"/>
  <c r="Q114" i="1" s="1"/>
  <c r="N114" i="1"/>
  <c r="M114" i="1"/>
  <c r="L114" i="1"/>
  <c r="K114" i="1"/>
  <c r="J114" i="1"/>
  <c r="G114" i="1"/>
  <c r="I114" i="1" s="1"/>
  <c r="F114" i="1"/>
  <c r="H114" i="1" s="1"/>
  <c r="E114" i="1"/>
  <c r="D114" i="1"/>
  <c r="C114" i="1"/>
  <c r="B114" i="1"/>
  <c r="AL113" i="1"/>
  <c r="AK113" i="1"/>
  <c r="AJ113" i="1"/>
  <c r="AI113" i="1"/>
  <c r="AF113" i="1"/>
  <c r="AE113" i="1"/>
  <c r="AG113" i="1" s="1"/>
  <c r="AA113" i="1"/>
  <c r="Z113" i="1"/>
  <c r="W113" i="1"/>
  <c r="X113" i="1" s="1"/>
  <c r="T113" i="1"/>
  <c r="S113" i="1"/>
  <c r="U113" i="1" s="1"/>
  <c r="Q113" i="1"/>
  <c r="P113" i="1"/>
  <c r="O113" i="1"/>
  <c r="M113" i="1"/>
  <c r="L113" i="1"/>
  <c r="K113" i="1"/>
  <c r="G113" i="1"/>
  <c r="E113" i="1"/>
  <c r="D113" i="1"/>
  <c r="C113" i="1"/>
  <c r="AL112" i="1"/>
  <c r="AK112" i="1"/>
  <c r="AJ112" i="1"/>
  <c r="AI112" i="1"/>
  <c r="AG112" i="1"/>
  <c r="AF112" i="1"/>
  <c r="AE112" i="1"/>
  <c r="AA112" i="1"/>
  <c r="AM112" i="1" s="1"/>
  <c r="AO112" i="1" s="1"/>
  <c r="Y112" i="1"/>
  <c r="X112" i="1"/>
  <c r="W112" i="1"/>
  <c r="S112" i="1"/>
  <c r="Q112" i="1"/>
  <c r="P112" i="1"/>
  <c r="O112" i="1"/>
  <c r="K112" i="1"/>
  <c r="L112" i="1" s="1"/>
  <c r="J112" i="1"/>
  <c r="I112" i="1"/>
  <c r="G112" i="1"/>
  <c r="F112" i="1"/>
  <c r="C112" i="1"/>
  <c r="D112" i="1" s="1"/>
  <c r="B112" i="1"/>
  <c r="AM111" i="1"/>
  <c r="AL111" i="1"/>
  <c r="AI111" i="1"/>
  <c r="AJ111" i="1" s="1"/>
  <c r="AE111" i="1"/>
  <c r="AG111" i="1" s="1"/>
  <c r="AC111" i="1"/>
  <c r="AB111" i="1"/>
  <c r="AA111" i="1"/>
  <c r="Z111" i="1"/>
  <c r="W111" i="1"/>
  <c r="U111" i="1"/>
  <c r="T111" i="1"/>
  <c r="S111" i="1"/>
  <c r="O111" i="1"/>
  <c r="P111" i="1" s="1"/>
  <c r="K111" i="1"/>
  <c r="M111" i="1" s="1"/>
  <c r="I111" i="1"/>
  <c r="H111" i="1"/>
  <c r="G111" i="1"/>
  <c r="E111" i="1"/>
  <c r="D111" i="1"/>
  <c r="C111" i="1"/>
  <c r="AM110" i="1"/>
  <c r="AI110" i="1"/>
  <c r="AJ110" i="1" s="1"/>
  <c r="AH110" i="1"/>
  <c r="AF110" i="1"/>
  <c r="AE110" i="1"/>
  <c r="AG110" i="1" s="1"/>
  <c r="AD110" i="1"/>
  <c r="AA110" i="1"/>
  <c r="AB110" i="1" s="1"/>
  <c r="X110" i="1"/>
  <c r="W110" i="1"/>
  <c r="Y110" i="1" s="1"/>
  <c r="U110" i="1"/>
  <c r="T110" i="1"/>
  <c r="S110" i="1"/>
  <c r="R110" i="1"/>
  <c r="R119" i="1" s="1"/>
  <c r="O110" i="1"/>
  <c r="M110" i="1"/>
  <c r="L110" i="1"/>
  <c r="K110" i="1"/>
  <c r="J110" i="1"/>
  <c r="I110" i="1"/>
  <c r="H110" i="1"/>
  <c r="G110" i="1"/>
  <c r="C110" i="1"/>
  <c r="B110" i="1"/>
  <c r="B119" i="1" s="1"/>
  <c r="AL109" i="1"/>
  <c r="AJ109" i="1"/>
  <c r="AI109" i="1"/>
  <c r="AI119" i="1" s="1"/>
  <c r="AG109" i="1"/>
  <c r="AE109" i="1"/>
  <c r="AE119" i="1" s="1"/>
  <c r="AA109" i="1"/>
  <c r="Y109" i="1"/>
  <c r="X109" i="1"/>
  <c r="W109" i="1"/>
  <c r="W119" i="1" s="1"/>
  <c r="S109" i="1"/>
  <c r="T109" i="1" s="1"/>
  <c r="O109" i="1"/>
  <c r="M109" i="1"/>
  <c r="L109" i="1"/>
  <c r="K109" i="1"/>
  <c r="I109" i="1"/>
  <c r="H109" i="1"/>
  <c r="G109" i="1"/>
  <c r="C109" i="1"/>
  <c r="AO108" i="1"/>
  <c r="AM108" i="1"/>
  <c r="AL108" i="1"/>
  <c r="AN108" i="1" s="1"/>
  <c r="AK108" i="1"/>
  <c r="AJ108" i="1"/>
  <c r="AG108" i="1"/>
  <c r="AF108" i="1"/>
  <c r="AC108" i="1"/>
  <c r="AB108" i="1"/>
  <c r="Y108" i="1"/>
  <c r="X108" i="1"/>
  <c r="U108" i="1"/>
  <c r="T108" i="1"/>
  <c r="Q108" i="1"/>
  <c r="P108" i="1"/>
  <c r="M108" i="1"/>
  <c r="L108" i="1"/>
  <c r="I108" i="1"/>
  <c r="H108" i="1"/>
  <c r="E108" i="1"/>
  <c r="D108" i="1"/>
  <c r="AH107" i="1"/>
  <c r="AG107" i="1"/>
  <c r="AD107" i="1"/>
  <c r="Z107" i="1"/>
  <c r="V107" i="1"/>
  <c r="R107" i="1"/>
  <c r="Q107" i="1"/>
  <c r="P107" i="1"/>
  <c r="O107" i="1"/>
  <c r="N107" i="1"/>
  <c r="J107" i="1"/>
  <c r="I107" i="1"/>
  <c r="H107" i="1"/>
  <c r="G107" i="1"/>
  <c r="F107" i="1"/>
  <c r="B107" i="1"/>
  <c r="AL106" i="1"/>
  <c r="AK106" i="1"/>
  <c r="AJ106" i="1"/>
  <c r="AI106" i="1"/>
  <c r="AI107" i="1" s="1"/>
  <c r="AK107" i="1" s="1"/>
  <c r="AG106" i="1"/>
  <c r="AE106" i="1"/>
  <c r="AE107" i="1" s="1"/>
  <c r="AF107" i="1" s="1"/>
  <c r="AC106" i="1"/>
  <c r="AA106" i="1"/>
  <c r="AA107" i="1" s="1"/>
  <c r="AC107" i="1" s="1"/>
  <c r="W106" i="1"/>
  <c r="U106" i="1"/>
  <c r="T106" i="1"/>
  <c r="S106" i="1"/>
  <c r="S107" i="1" s="1"/>
  <c r="U107" i="1" s="1"/>
  <c r="O106" i="1"/>
  <c r="P106" i="1" s="1"/>
  <c r="L106" i="1"/>
  <c r="K106" i="1"/>
  <c r="I106" i="1"/>
  <c r="H106" i="1"/>
  <c r="G106" i="1"/>
  <c r="E106" i="1"/>
  <c r="D106" i="1"/>
  <c r="C106" i="1"/>
  <c r="C107" i="1" s="1"/>
  <c r="AM105" i="1"/>
  <c r="AO105" i="1" s="1"/>
  <c r="AL105" i="1"/>
  <c r="AK105" i="1"/>
  <c r="AJ105" i="1"/>
  <c r="AG105" i="1"/>
  <c r="AF105" i="1"/>
  <c r="AC105" i="1"/>
  <c r="AB105" i="1"/>
  <c r="Y105" i="1"/>
  <c r="X105" i="1"/>
  <c r="U105" i="1"/>
  <c r="T105" i="1"/>
  <c r="Q105" i="1"/>
  <c r="P105" i="1"/>
  <c r="M105" i="1"/>
  <c r="L105" i="1"/>
  <c r="I105" i="1"/>
  <c r="H105" i="1"/>
  <c r="E105" i="1"/>
  <c r="D105" i="1"/>
  <c r="W104" i="1"/>
  <c r="AM103" i="1"/>
  <c r="AL103" i="1"/>
  <c r="AN103" i="1" s="1"/>
  <c r="AK103" i="1"/>
  <c r="AJ103" i="1"/>
  <c r="AI103" i="1"/>
  <c r="AG103" i="1"/>
  <c r="AF103" i="1"/>
  <c r="AE103" i="1"/>
  <c r="AC103" i="1"/>
  <c r="AB103" i="1"/>
  <c r="AA103" i="1"/>
  <c r="Y103" i="1"/>
  <c r="W103" i="1"/>
  <c r="X103" i="1" s="1"/>
  <c r="S103" i="1"/>
  <c r="U103" i="1" s="1"/>
  <c r="R103" i="1"/>
  <c r="Q103" i="1"/>
  <c r="P103" i="1"/>
  <c r="O103" i="1"/>
  <c r="N103" i="1"/>
  <c r="K103" i="1"/>
  <c r="I103" i="1"/>
  <c r="H103" i="1"/>
  <c r="G103" i="1"/>
  <c r="C103" i="1"/>
  <c r="D103" i="1" s="1"/>
  <c r="AM102" i="1"/>
  <c r="AL102" i="1"/>
  <c r="AK102" i="1"/>
  <c r="AI102" i="1"/>
  <c r="AJ102" i="1" s="1"/>
  <c r="AE102" i="1"/>
  <c r="AC102" i="1"/>
  <c r="AB102" i="1"/>
  <c r="AA102" i="1"/>
  <c r="W102" i="1"/>
  <c r="X102" i="1" s="1"/>
  <c r="S102" i="1"/>
  <c r="U102" i="1" s="1"/>
  <c r="Q102" i="1"/>
  <c r="P102" i="1"/>
  <c r="O102" i="1"/>
  <c r="M102" i="1"/>
  <c r="L102" i="1"/>
  <c r="K102" i="1"/>
  <c r="H102" i="1"/>
  <c r="G102" i="1"/>
  <c r="I102" i="1" s="1"/>
  <c r="E102" i="1"/>
  <c r="C102" i="1"/>
  <c r="D102" i="1" s="1"/>
  <c r="AK101" i="1"/>
  <c r="AJ101" i="1"/>
  <c r="AI101" i="1"/>
  <c r="AH101" i="1"/>
  <c r="AE101" i="1"/>
  <c r="AG101" i="1" s="1"/>
  <c r="AD101" i="1"/>
  <c r="AC101" i="1"/>
  <c r="AB101" i="1"/>
  <c r="AA101" i="1"/>
  <c r="Z101" i="1"/>
  <c r="W101" i="1"/>
  <c r="Y101" i="1" s="1"/>
  <c r="V101" i="1"/>
  <c r="U101" i="1"/>
  <c r="T101" i="1"/>
  <c r="S101" i="1"/>
  <c r="R101" i="1"/>
  <c r="O101" i="1"/>
  <c r="N101" i="1"/>
  <c r="M101" i="1"/>
  <c r="L101" i="1"/>
  <c r="K101" i="1"/>
  <c r="J101" i="1"/>
  <c r="G101" i="1"/>
  <c r="F101" i="1"/>
  <c r="H101" i="1" s="1"/>
  <c r="E101" i="1"/>
  <c r="D101" i="1"/>
  <c r="C101" i="1"/>
  <c r="B101" i="1"/>
  <c r="AK100" i="1"/>
  <c r="AJ100" i="1"/>
  <c r="AI100" i="1"/>
  <c r="AH100" i="1"/>
  <c r="AE100" i="1"/>
  <c r="AG100" i="1" s="1"/>
  <c r="AD100" i="1"/>
  <c r="AC100" i="1"/>
  <c r="AB100" i="1"/>
  <c r="AA100" i="1"/>
  <c r="Y100" i="1"/>
  <c r="X100" i="1"/>
  <c r="W100" i="1"/>
  <c r="S100" i="1"/>
  <c r="U100" i="1" s="1"/>
  <c r="R100" i="1"/>
  <c r="T100" i="1" s="1"/>
  <c r="O100" i="1"/>
  <c r="P100" i="1" s="1"/>
  <c r="N100" i="1"/>
  <c r="M100" i="1"/>
  <c r="K100" i="1"/>
  <c r="J100" i="1"/>
  <c r="L100" i="1" s="1"/>
  <c r="G100" i="1"/>
  <c r="F100" i="1"/>
  <c r="C100" i="1"/>
  <c r="AI99" i="1"/>
  <c r="AH99" i="1"/>
  <c r="AH104" i="1" s="1"/>
  <c r="AE99" i="1"/>
  <c r="AD99" i="1"/>
  <c r="AA99" i="1"/>
  <c r="Z99" i="1"/>
  <c r="Z104" i="1" s="1"/>
  <c r="Y99" i="1"/>
  <c r="W99" i="1"/>
  <c r="V99" i="1"/>
  <c r="X99" i="1" s="1"/>
  <c r="S99" i="1"/>
  <c r="R99" i="1"/>
  <c r="O99" i="1"/>
  <c r="N99" i="1"/>
  <c r="P99" i="1" s="1"/>
  <c r="K99" i="1"/>
  <c r="J99" i="1"/>
  <c r="J104" i="1" s="1"/>
  <c r="I99" i="1"/>
  <c r="G99" i="1"/>
  <c r="F99" i="1"/>
  <c r="H99" i="1" s="1"/>
  <c r="C99" i="1"/>
  <c r="B99" i="1"/>
  <c r="B104" i="1" s="1"/>
  <c r="AO98" i="1"/>
  <c r="AM98" i="1"/>
  <c r="AL98" i="1"/>
  <c r="AN98" i="1" s="1"/>
  <c r="AK98" i="1"/>
  <c r="AJ98" i="1"/>
  <c r="AG98" i="1"/>
  <c r="AF98" i="1"/>
  <c r="AC98" i="1"/>
  <c r="AB98" i="1"/>
  <c r="Y98" i="1"/>
  <c r="X98" i="1"/>
  <c r="U98" i="1"/>
  <c r="T98" i="1"/>
  <c r="Q98" i="1"/>
  <c r="P98" i="1"/>
  <c r="M98" i="1"/>
  <c r="L98" i="1"/>
  <c r="I98" i="1"/>
  <c r="H98" i="1"/>
  <c r="E98" i="1"/>
  <c r="D98" i="1"/>
  <c r="AK96" i="1"/>
  <c r="AJ96" i="1"/>
  <c r="AI96" i="1"/>
  <c r="AE96" i="1"/>
  <c r="AG96" i="1" s="1"/>
  <c r="AD96" i="1"/>
  <c r="AF96" i="1" s="1"/>
  <c r="AA96" i="1"/>
  <c r="Z96" i="1"/>
  <c r="Y96" i="1"/>
  <c r="W96" i="1"/>
  <c r="X96" i="1" s="1"/>
  <c r="U96" i="1"/>
  <c r="S96" i="1"/>
  <c r="T96" i="1" s="1"/>
  <c r="O96" i="1"/>
  <c r="Q96" i="1" s="1"/>
  <c r="N96" i="1"/>
  <c r="P96" i="1" s="1"/>
  <c r="M96" i="1"/>
  <c r="L96" i="1"/>
  <c r="K96" i="1"/>
  <c r="I96" i="1"/>
  <c r="H96" i="1"/>
  <c r="G96" i="1"/>
  <c r="C96" i="1"/>
  <c r="B96" i="1"/>
  <c r="AL95" i="1"/>
  <c r="AK95" i="1"/>
  <c r="AI95" i="1"/>
  <c r="AJ95" i="1" s="1"/>
  <c r="AG95" i="1"/>
  <c r="AE95" i="1"/>
  <c r="AF95" i="1" s="1"/>
  <c r="AA95" i="1"/>
  <c r="AB95" i="1" s="1"/>
  <c r="X95" i="1"/>
  <c r="W95" i="1"/>
  <c r="Y95" i="1" s="1"/>
  <c r="S95" i="1"/>
  <c r="O95" i="1"/>
  <c r="M95" i="1"/>
  <c r="L95" i="1"/>
  <c r="K95" i="1"/>
  <c r="H95" i="1"/>
  <c r="G95" i="1"/>
  <c r="I95" i="1" s="1"/>
  <c r="C95" i="1"/>
  <c r="AJ94" i="1"/>
  <c r="AI94" i="1"/>
  <c r="AK94" i="1" s="1"/>
  <c r="AG94" i="1"/>
  <c r="AF94" i="1"/>
  <c r="AE94" i="1"/>
  <c r="AA94" i="1"/>
  <c r="AC94" i="1" s="1"/>
  <c r="X94" i="1"/>
  <c r="W94" i="1"/>
  <c r="Y94" i="1" s="1"/>
  <c r="V94" i="1"/>
  <c r="AL94" i="1" s="1"/>
  <c r="S94" i="1"/>
  <c r="Q94" i="1"/>
  <c r="O94" i="1"/>
  <c r="P94" i="1" s="1"/>
  <c r="M94" i="1"/>
  <c r="L94" i="1"/>
  <c r="K94" i="1"/>
  <c r="G94" i="1"/>
  <c r="F94" i="1"/>
  <c r="C94" i="1"/>
  <c r="AK93" i="1"/>
  <c r="AI93" i="1"/>
  <c r="AH93" i="1"/>
  <c r="AJ93" i="1" s="1"/>
  <c r="AG93" i="1"/>
  <c r="AE93" i="1"/>
  <c r="AF93" i="1" s="1"/>
  <c r="AC93" i="1"/>
  <c r="AB93" i="1"/>
  <c r="AA93" i="1"/>
  <c r="W93" i="1"/>
  <c r="Y93" i="1" s="1"/>
  <c r="V93" i="1"/>
  <c r="X93" i="1" s="1"/>
  <c r="S93" i="1"/>
  <c r="R93" i="1"/>
  <c r="O93" i="1"/>
  <c r="Q93" i="1" s="1"/>
  <c r="N93" i="1"/>
  <c r="P93" i="1" s="1"/>
  <c r="K93" i="1"/>
  <c r="G93" i="1"/>
  <c r="I93" i="1" s="1"/>
  <c r="F93" i="1"/>
  <c r="H93" i="1" s="1"/>
  <c r="C93" i="1"/>
  <c r="E93" i="1" s="1"/>
  <c r="AK92" i="1"/>
  <c r="AI92" i="1"/>
  <c r="AJ92" i="1" s="1"/>
  <c r="AG92" i="1"/>
  <c r="AF92" i="1"/>
  <c r="AE92" i="1"/>
  <c r="AA92" i="1"/>
  <c r="AC92" i="1" s="1"/>
  <c r="W92" i="1"/>
  <c r="Y92" i="1" s="1"/>
  <c r="U92" i="1"/>
  <c r="S92" i="1"/>
  <c r="T92" i="1" s="1"/>
  <c r="P92" i="1"/>
  <c r="O92" i="1"/>
  <c r="Q92" i="1" s="1"/>
  <c r="K92" i="1"/>
  <c r="H92" i="1"/>
  <c r="G92" i="1"/>
  <c r="I92" i="1" s="1"/>
  <c r="E92" i="1"/>
  <c r="C92" i="1"/>
  <c r="AM92" i="1" s="1"/>
  <c r="AO92" i="1" s="1"/>
  <c r="B92" i="1"/>
  <c r="AL92" i="1" s="1"/>
  <c r="AK91" i="1"/>
  <c r="AI91" i="1"/>
  <c r="AJ91" i="1" s="1"/>
  <c r="AG91" i="1"/>
  <c r="AF91" i="1"/>
  <c r="AE91" i="1"/>
  <c r="AD91" i="1"/>
  <c r="AB91" i="1"/>
  <c r="AA91" i="1"/>
  <c r="AC91" i="1" s="1"/>
  <c r="Z91" i="1"/>
  <c r="Y91" i="1"/>
  <c r="X91" i="1"/>
  <c r="W91" i="1"/>
  <c r="V91" i="1"/>
  <c r="T91" i="1"/>
  <c r="S91" i="1"/>
  <c r="U91" i="1" s="1"/>
  <c r="R91" i="1"/>
  <c r="Q91" i="1"/>
  <c r="P91" i="1"/>
  <c r="O91" i="1"/>
  <c r="K91" i="1"/>
  <c r="M91" i="1" s="1"/>
  <c r="G91" i="1"/>
  <c r="AM91" i="1" s="1"/>
  <c r="F91" i="1"/>
  <c r="D91" i="1"/>
  <c r="C91" i="1"/>
  <c r="E91" i="1" s="1"/>
  <c r="AK90" i="1"/>
  <c r="AI90" i="1"/>
  <c r="AH90" i="1"/>
  <c r="AJ90" i="1" s="1"/>
  <c r="AG90" i="1"/>
  <c r="AE90" i="1"/>
  <c r="AD90" i="1"/>
  <c r="AF90" i="1" s="1"/>
  <c r="AC90" i="1"/>
  <c r="AA90" i="1"/>
  <c r="Z90" i="1"/>
  <c r="AB90" i="1" s="1"/>
  <c r="Y90" i="1"/>
  <c r="W90" i="1"/>
  <c r="V90" i="1"/>
  <c r="X90" i="1" s="1"/>
  <c r="U90" i="1"/>
  <c r="S90" i="1"/>
  <c r="R90" i="1"/>
  <c r="T90" i="1" s="1"/>
  <c r="Q90" i="1"/>
  <c r="O90" i="1"/>
  <c r="N90" i="1"/>
  <c r="P90" i="1" s="1"/>
  <c r="M90" i="1"/>
  <c r="K90" i="1"/>
  <c r="J90" i="1"/>
  <c r="L90" i="1" s="1"/>
  <c r="I90" i="1"/>
  <c r="G90" i="1"/>
  <c r="AM90" i="1" s="1"/>
  <c r="F90" i="1"/>
  <c r="H90" i="1" s="1"/>
  <c r="E90" i="1"/>
  <c r="C90" i="1"/>
  <c r="B90" i="1"/>
  <c r="D90" i="1" s="1"/>
  <c r="AO89" i="1"/>
  <c r="AM89" i="1"/>
  <c r="AK89" i="1"/>
  <c r="AH89" i="1"/>
  <c r="AJ89" i="1" s="1"/>
  <c r="AG89" i="1"/>
  <c r="AF89" i="1"/>
  <c r="AD89" i="1"/>
  <c r="AC89" i="1"/>
  <c r="Z89" i="1"/>
  <c r="AB89" i="1" s="1"/>
  <c r="Y89" i="1"/>
  <c r="X89" i="1"/>
  <c r="U89" i="1"/>
  <c r="T89" i="1"/>
  <c r="R89" i="1"/>
  <c r="Q89" i="1"/>
  <c r="N89" i="1"/>
  <c r="M89" i="1"/>
  <c r="L89" i="1"/>
  <c r="J89" i="1"/>
  <c r="I89" i="1"/>
  <c r="F89" i="1"/>
  <c r="H89" i="1" s="1"/>
  <c r="E89" i="1"/>
  <c r="D89" i="1"/>
  <c r="AI88" i="1"/>
  <c r="AK88" i="1" s="1"/>
  <c r="AH88" i="1"/>
  <c r="AJ88" i="1" s="1"/>
  <c r="AE88" i="1"/>
  <c r="AG88" i="1" s="1"/>
  <c r="AD88" i="1"/>
  <c r="AF88" i="1" s="1"/>
  <c r="AA88" i="1"/>
  <c r="AC88" i="1" s="1"/>
  <c r="Z88" i="1"/>
  <c r="AB88" i="1" s="1"/>
  <c r="W88" i="1"/>
  <c r="Y88" i="1" s="1"/>
  <c r="V88" i="1"/>
  <c r="X88" i="1" s="1"/>
  <c r="S88" i="1"/>
  <c r="U88" i="1" s="1"/>
  <c r="R88" i="1"/>
  <c r="T88" i="1" s="1"/>
  <c r="O88" i="1"/>
  <c r="Q88" i="1" s="1"/>
  <c r="N88" i="1"/>
  <c r="P88" i="1" s="1"/>
  <c r="K88" i="1"/>
  <c r="M88" i="1" s="1"/>
  <c r="J88" i="1"/>
  <c r="L88" i="1" s="1"/>
  <c r="G88" i="1"/>
  <c r="I88" i="1" s="1"/>
  <c r="F88" i="1"/>
  <c r="H88" i="1" s="1"/>
  <c r="C88" i="1"/>
  <c r="AM88" i="1" s="1"/>
  <c r="B88" i="1"/>
  <c r="AM87" i="1"/>
  <c r="AO87" i="1" s="1"/>
  <c r="AL87" i="1"/>
  <c r="AN87" i="1" s="1"/>
  <c r="AK87" i="1"/>
  <c r="AJ87" i="1"/>
  <c r="AG87" i="1"/>
  <c r="AF87" i="1"/>
  <c r="AC87" i="1"/>
  <c r="AB87" i="1"/>
  <c r="Y87" i="1"/>
  <c r="X87" i="1"/>
  <c r="U87" i="1"/>
  <c r="T87" i="1"/>
  <c r="Q87" i="1"/>
  <c r="P87" i="1"/>
  <c r="M87" i="1"/>
  <c r="L87" i="1"/>
  <c r="J87" i="1"/>
  <c r="I87" i="1"/>
  <c r="H87" i="1"/>
  <c r="E87" i="1"/>
  <c r="D87" i="1"/>
  <c r="AO86" i="1"/>
  <c r="AM86" i="1"/>
  <c r="AK86" i="1"/>
  <c r="AH86" i="1"/>
  <c r="AL86" i="1" s="1"/>
  <c r="AN86" i="1" s="1"/>
  <c r="AG86" i="1"/>
  <c r="AF86" i="1"/>
  <c r="AC86" i="1"/>
  <c r="AB86" i="1"/>
  <c r="Y86" i="1"/>
  <c r="X86" i="1"/>
  <c r="U86" i="1"/>
  <c r="T86" i="1"/>
  <c r="Q86" i="1"/>
  <c r="P86" i="1"/>
  <c r="M86" i="1"/>
  <c r="L86" i="1"/>
  <c r="I86" i="1"/>
  <c r="H86" i="1"/>
  <c r="E86" i="1"/>
  <c r="D86" i="1"/>
  <c r="AJ85" i="1"/>
  <c r="AI85" i="1"/>
  <c r="AK85" i="1" s="1"/>
  <c r="AE85" i="1"/>
  <c r="AC85" i="1"/>
  <c r="AB85" i="1"/>
  <c r="AA85" i="1"/>
  <c r="Y85" i="1"/>
  <c r="W85" i="1"/>
  <c r="X85" i="1" s="1"/>
  <c r="U85" i="1"/>
  <c r="T85" i="1"/>
  <c r="S85" i="1"/>
  <c r="O85" i="1"/>
  <c r="Q85" i="1" s="1"/>
  <c r="N85" i="1"/>
  <c r="P85" i="1" s="1"/>
  <c r="K85" i="1"/>
  <c r="J85" i="1"/>
  <c r="G85" i="1"/>
  <c r="I85" i="1" s="1"/>
  <c r="F85" i="1"/>
  <c r="AL85" i="1" s="1"/>
  <c r="C85" i="1"/>
  <c r="AI84" i="1"/>
  <c r="AH84" i="1"/>
  <c r="AJ84" i="1" s="1"/>
  <c r="AE84" i="1"/>
  <c r="AD84" i="1"/>
  <c r="AA84" i="1"/>
  <c r="Z84" i="1"/>
  <c r="W84" i="1"/>
  <c r="V84" i="1"/>
  <c r="S84" i="1"/>
  <c r="R84" i="1"/>
  <c r="T84" i="1" s="1"/>
  <c r="O84" i="1"/>
  <c r="N84" i="1"/>
  <c r="K84" i="1"/>
  <c r="J84" i="1"/>
  <c r="L84" i="1" s="1"/>
  <c r="G84" i="1"/>
  <c r="F84" i="1"/>
  <c r="C84" i="1"/>
  <c r="AM84" i="1" s="1"/>
  <c r="AK83" i="1"/>
  <c r="AI83" i="1"/>
  <c r="AH83" i="1"/>
  <c r="AJ83" i="1" s="1"/>
  <c r="AG83" i="1"/>
  <c r="AE83" i="1"/>
  <c r="AF83" i="1" s="1"/>
  <c r="AB83" i="1"/>
  <c r="AA83" i="1"/>
  <c r="AC83" i="1" s="1"/>
  <c r="W83" i="1"/>
  <c r="S83" i="1"/>
  <c r="R83" i="1"/>
  <c r="O83" i="1"/>
  <c r="N83" i="1"/>
  <c r="P83" i="1" s="1"/>
  <c r="K83" i="1"/>
  <c r="J83" i="1"/>
  <c r="G83" i="1"/>
  <c r="F83" i="1"/>
  <c r="E83" i="1"/>
  <c r="D83" i="1"/>
  <c r="C83" i="1"/>
  <c r="AK82" i="1"/>
  <c r="AI82" i="1"/>
  <c r="AH82" i="1"/>
  <c r="AG82" i="1"/>
  <c r="AE82" i="1"/>
  <c r="AD82" i="1"/>
  <c r="AC82" i="1"/>
  <c r="AA82" i="1"/>
  <c r="Z82" i="1"/>
  <c r="Y82" i="1"/>
  <c r="W82" i="1"/>
  <c r="V82" i="1"/>
  <c r="U82" i="1"/>
  <c r="S82" i="1"/>
  <c r="R82" i="1"/>
  <c r="Q82" i="1"/>
  <c r="O82" i="1"/>
  <c r="O97" i="1" s="1"/>
  <c r="N82" i="1"/>
  <c r="M82" i="1"/>
  <c r="K82" i="1"/>
  <c r="J82" i="1"/>
  <c r="I82" i="1"/>
  <c r="G82" i="1"/>
  <c r="F82" i="1"/>
  <c r="E82" i="1"/>
  <c r="C82" i="1"/>
  <c r="B82" i="1"/>
  <c r="B97" i="1" s="1"/>
  <c r="AO81" i="1"/>
  <c r="AM81" i="1"/>
  <c r="AL81" i="1"/>
  <c r="AN81" i="1" s="1"/>
  <c r="AK81" i="1"/>
  <c r="AJ81" i="1"/>
  <c r="AG81" i="1"/>
  <c r="AF81" i="1"/>
  <c r="AC81" i="1"/>
  <c r="AB81" i="1"/>
  <c r="Y81" i="1"/>
  <c r="X81" i="1"/>
  <c r="U81" i="1"/>
  <c r="T81" i="1"/>
  <c r="Q81" i="1"/>
  <c r="P81" i="1"/>
  <c r="M81" i="1"/>
  <c r="L81" i="1"/>
  <c r="I81" i="1"/>
  <c r="H81" i="1"/>
  <c r="E81" i="1"/>
  <c r="D81" i="1"/>
  <c r="AI79" i="1"/>
  <c r="AH79" i="1"/>
  <c r="AE79" i="1"/>
  <c r="AG79" i="1" s="1"/>
  <c r="AD79" i="1"/>
  <c r="AB79" i="1"/>
  <c r="AA79" i="1"/>
  <c r="AC79" i="1" s="1"/>
  <c r="Z79" i="1"/>
  <c r="W79" i="1"/>
  <c r="S79" i="1"/>
  <c r="Q79" i="1"/>
  <c r="O79" i="1"/>
  <c r="P79" i="1" s="1"/>
  <c r="N79" i="1"/>
  <c r="M79" i="1"/>
  <c r="K79" i="1"/>
  <c r="J79" i="1"/>
  <c r="L79" i="1" s="1"/>
  <c r="I79" i="1"/>
  <c r="G79" i="1"/>
  <c r="H79" i="1" s="1"/>
  <c r="F79" i="1"/>
  <c r="C79" i="1"/>
  <c r="B79" i="1"/>
  <c r="AI78" i="1"/>
  <c r="AH78" i="1"/>
  <c r="AG78" i="1"/>
  <c r="AE78" i="1"/>
  <c r="AF78" i="1" s="1"/>
  <c r="AD78" i="1"/>
  <c r="AC78" i="1"/>
  <c r="AA78" i="1"/>
  <c r="AB78" i="1" s="1"/>
  <c r="Y78" i="1"/>
  <c r="X78" i="1"/>
  <c r="W78" i="1"/>
  <c r="S78" i="1"/>
  <c r="O78" i="1"/>
  <c r="M78" i="1"/>
  <c r="K78" i="1"/>
  <c r="L78" i="1" s="1"/>
  <c r="J78" i="1"/>
  <c r="I78" i="1"/>
  <c r="G78" i="1"/>
  <c r="AM78" i="1" s="1"/>
  <c r="E78" i="1"/>
  <c r="D78" i="1"/>
  <c r="C78" i="1"/>
  <c r="AL77" i="1"/>
  <c r="AI77" i="1"/>
  <c r="AK77" i="1" s="1"/>
  <c r="AG77" i="1"/>
  <c r="AF77" i="1"/>
  <c r="AE77" i="1"/>
  <c r="AC77" i="1"/>
  <c r="AA77" i="1"/>
  <c r="AB77" i="1" s="1"/>
  <c r="Y77" i="1"/>
  <c r="X77" i="1"/>
  <c r="W77" i="1"/>
  <c r="S77" i="1"/>
  <c r="O77" i="1"/>
  <c r="O80" i="1" s="1"/>
  <c r="M77" i="1"/>
  <c r="K77" i="1"/>
  <c r="L77" i="1" s="1"/>
  <c r="H77" i="1"/>
  <c r="G77" i="1"/>
  <c r="I77" i="1" s="1"/>
  <c r="D77" i="1"/>
  <c r="C77" i="1"/>
  <c r="E77" i="1" s="1"/>
  <c r="AI76" i="1"/>
  <c r="AK76" i="1" s="1"/>
  <c r="AH76" i="1"/>
  <c r="AG76" i="1"/>
  <c r="AE76" i="1"/>
  <c r="AD76" i="1"/>
  <c r="AF76" i="1" s="1"/>
  <c r="AA76" i="1"/>
  <c r="AC76" i="1" s="1"/>
  <c r="Y76" i="1"/>
  <c r="W76" i="1"/>
  <c r="X76" i="1" s="1"/>
  <c r="T76" i="1"/>
  <c r="S76" i="1"/>
  <c r="U76" i="1" s="1"/>
  <c r="P76" i="1"/>
  <c r="O76" i="1"/>
  <c r="Q76" i="1" s="1"/>
  <c r="M76" i="1"/>
  <c r="K76" i="1"/>
  <c r="J76" i="1"/>
  <c r="H76" i="1"/>
  <c r="G76" i="1"/>
  <c r="I76" i="1" s="1"/>
  <c r="E76" i="1"/>
  <c r="C76" i="1"/>
  <c r="D76" i="1" s="1"/>
  <c r="AM75" i="1"/>
  <c r="AO75" i="1" s="1"/>
  <c r="AK75" i="1"/>
  <c r="AJ75" i="1"/>
  <c r="AG75" i="1"/>
  <c r="AF75" i="1"/>
  <c r="AC75" i="1"/>
  <c r="AB75" i="1"/>
  <c r="Y75" i="1"/>
  <c r="V75" i="1"/>
  <c r="U75" i="1"/>
  <c r="T75" i="1"/>
  <c r="Q75" i="1"/>
  <c r="P75" i="1"/>
  <c r="M75" i="1"/>
  <c r="L75" i="1"/>
  <c r="I75" i="1"/>
  <c r="H75" i="1"/>
  <c r="E75" i="1"/>
  <c r="D75" i="1"/>
  <c r="AL74" i="1"/>
  <c r="AI74" i="1"/>
  <c r="AK74" i="1" s="1"/>
  <c r="AG74" i="1"/>
  <c r="AF74" i="1"/>
  <c r="AE74" i="1"/>
  <c r="AB74" i="1"/>
  <c r="AA74" i="1"/>
  <c r="AC74" i="1" s="1"/>
  <c r="Y74" i="1"/>
  <c r="X74" i="1"/>
  <c r="W74" i="1"/>
  <c r="S74" i="1"/>
  <c r="O74" i="1"/>
  <c r="Q74" i="1" s="1"/>
  <c r="M74" i="1"/>
  <c r="K74" i="1"/>
  <c r="L74" i="1" s="1"/>
  <c r="G74" i="1"/>
  <c r="E74" i="1"/>
  <c r="D74" i="1"/>
  <c r="C74" i="1"/>
  <c r="AM74" i="1" s="1"/>
  <c r="AO74" i="1" s="1"/>
  <c r="AI73" i="1"/>
  <c r="AK73" i="1" s="1"/>
  <c r="AG73" i="1"/>
  <c r="AE73" i="1"/>
  <c r="AF73" i="1" s="1"/>
  <c r="AA73" i="1"/>
  <c r="AC73" i="1" s="1"/>
  <c r="Z73" i="1"/>
  <c r="AB73" i="1" s="1"/>
  <c r="Y73" i="1"/>
  <c r="X73" i="1"/>
  <c r="W73" i="1"/>
  <c r="V73" i="1"/>
  <c r="T73" i="1"/>
  <c r="S73" i="1"/>
  <c r="U73" i="1" s="1"/>
  <c r="R73" i="1"/>
  <c r="Q73" i="1"/>
  <c r="P73" i="1"/>
  <c r="O73" i="1"/>
  <c r="N73" i="1"/>
  <c r="L73" i="1"/>
  <c r="K73" i="1"/>
  <c r="M73" i="1" s="1"/>
  <c r="G73" i="1"/>
  <c r="I73" i="1" s="1"/>
  <c r="E73" i="1"/>
  <c r="D73" i="1"/>
  <c r="C73" i="1"/>
  <c r="AO72" i="1"/>
  <c r="AM72" i="1"/>
  <c r="AK72" i="1"/>
  <c r="AJ72" i="1"/>
  <c r="AG72" i="1"/>
  <c r="AD72" i="1"/>
  <c r="AF72" i="1" s="1"/>
  <c r="AC72" i="1"/>
  <c r="AB72" i="1"/>
  <c r="Y72" i="1"/>
  <c r="X72" i="1"/>
  <c r="U72" i="1"/>
  <c r="T72" i="1"/>
  <c r="Q72" i="1"/>
  <c r="P72" i="1"/>
  <c r="M72" i="1"/>
  <c r="L72" i="1"/>
  <c r="I72" i="1"/>
  <c r="H72" i="1"/>
  <c r="F72" i="1"/>
  <c r="E72" i="1"/>
  <c r="D72" i="1"/>
  <c r="AL71" i="1"/>
  <c r="AK71" i="1"/>
  <c r="AI71" i="1"/>
  <c r="AJ71" i="1" s="1"/>
  <c r="AF71" i="1"/>
  <c r="AE71" i="1"/>
  <c r="AG71" i="1" s="1"/>
  <c r="AC71" i="1"/>
  <c r="AB71" i="1"/>
  <c r="AA71" i="1"/>
  <c r="Y71" i="1"/>
  <c r="X71" i="1"/>
  <c r="W71" i="1"/>
  <c r="S71" i="1"/>
  <c r="U71" i="1" s="1"/>
  <c r="Q71" i="1"/>
  <c r="P71" i="1"/>
  <c r="O71" i="1"/>
  <c r="K71" i="1"/>
  <c r="I71" i="1"/>
  <c r="G71" i="1"/>
  <c r="AM71" i="1" s="1"/>
  <c r="AO71" i="1" s="1"/>
  <c r="E71" i="1"/>
  <c r="C71" i="1"/>
  <c r="D71" i="1" s="1"/>
  <c r="B71" i="1"/>
  <c r="AL70" i="1"/>
  <c r="AK70" i="1"/>
  <c r="AI70" i="1"/>
  <c r="AJ70" i="1" s="1"/>
  <c r="AF70" i="1"/>
  <c r="AE70" i="1"/>
  <c r="AG70" i="1" s="1"/>
  <c r="AA70" i="1"/>
  <c r="AC70" i="1" s="1"/>
  <c r="Y70" i="1"/>
  <c r="X70" i="1"/>
  <c r="W70" i="1"/>
  <c r="U70" i="1"/>
  <c r="T70" i="1"/>
  <c r="S70" i="1"/>
  <c r="Q70" i="1"/>
  <c r="P70" i="1"/>
  <c r="O70" i="1"/>
  <c r="K70" i="1"/>
  <c r="L70" i="1" s="1"/>
  <c r="I70" i="1"/>
  <c r="H70" i="1"/>
  <c r="G70" i="1"/>
  <c r="F70" i="1"/>
  <c r="E70" i="1"/>
  <c r="D70" i="1"/>
  <c r="C70" i="1"/>
  <c r="AI69" i="1"/>
  <c r="AJ69" i="1" s="1"/>
  <c r="AH69" i="1"/>
  <c r="AE69" i="1"/>
  <c r="AD69" i="1"/>
  <c r="AC69" i="1"/>
  <c r="AA69" i="1"/>
  <c r="AB69" i="1" s="1"/>
  <c r="Z69" i="1"/>
  <c r="W69" i="1"/>
  <c r="Y69" i="1" s="1"/>
  <c r="U69" i="1"/>
  <c r="T69" i="1"/>
  <c r="S69" i="1"/>
  <c r="R69" i="1"/>
  <c r="P69" i="1"/>
  <c r="O69" i="1"/>
  <c r="Q69" i="1" s="1"/>
  <c r="N69" i="1"/>
  <c r="M69" i="1"/>
  <c r="L69" i="1"/>
  <c r="K69" i="1"/>
  <c r="G69" i="1"/>
  <c r="F69" i="1"/>
  <c r="H69" i="1" s="1"/>
  <c r="C69" i="1"/>
  <c r="AM69" i="1" s="1"/>
  <c r="B69" i="1"/>
  <c r="AK68" i="1"/>
  <c r="AI68" i="1"/>
  <c r="AJ68" i="1" s="1"/>
  <c r="AG68" i="1"/>
  <c r="AF68" i="1"/>
  <c r="AE68" i="1"/>
  <c r="AA68" i="1"/>
  <c r="AC68" i="1" s="1"/>
  <c r="Z68" i="1"/>
  <c r="AL68" i="1" s="1"/>
  <c r="W68" i="1"/>
  <c r="T68" i="1"/>
  <c r="S68" i="1"/>
  <c r="U68" i="1" s="1"/>
  <c r="P68" i="1"/>
  <c r="O68" i="1"/>
  <c r="Q68" i="1" s="1"/>
  <c r="M68" i="1"/>
  <c r="L68" i="1"/>
  <c r="K68" i="1"/>
  <c r="I68" i="1"/>
  <c r="H68" i="1"/>
  <c r="G68" i="1"/>
  <c r="E68" i="1"/>
  <c r="C68" i="1"/>
  <c r="AI67" i="1"/>
  <c r="AH67" i="1"/>
  <c r="AE67" i="1"/>
  <c r="AE80" i="1" s="1"/>
  <c r="AD67" i="1"/>
  <c r="AA67" i="1"/>
  <c r="AA80" i="1" s="1"/>
  <c r="AC80" i="1" s="1"/>
  <c r="Z67" i="1"/>
  <c r="Z80" i="1" s="1"/>
  <c r="W67" i="1"/>
  <c r="W80" i="1" s="1"/>
  <c r="V67" i="1"/>
  <c r="U67" i="1"/>
  <c r="T67" i="1"/>
  <c r="S67" i="1"/>
  <c r="S80" i="1" s="1"/>
  <c r="U80" i="1" s="1"/>
  <c r="R67" i="1"/>
  <c r="R80" i="1" s="1"/>
  <c r="Q67" i="1"/>
  <c r="O67" i="1"/>
  <c r="N67" i="1"/>
  <c r="M67" i="1"/>
  <c r="L67" i="1"/>
  <c r="K67" i="1"/>
  <c r="K80" i="1" s="1"/>
  <c r="J67" i="1"/>
  <c r="G67" i="1"/>
  <c r="G80" i="1" s="1"/>
  <c r="F67" i="1"/>
  <c r="C67" i="1"/>
  <c r="AM67" i="1" s="1"/>
  <c r="B67" i="1"/>
  <c r="AO66" i="1"/>
  <c r="AM66" i="1"/>
  <c r="AL66" i="1"/>
  <c r="AN66" i="1" s="1"/>
  <c r="AK66" i="1"/>
  <c r="AJ66" i="1"/>
  <c r="AG66" i="1"/>
  <c r="AF66" i="1"/>
  <c r="AC66" i="1"/>
  <c r="AB66" i="1"/>
  <c r="Y66" i="1"/>
  <c r="X66" i="1"/>
  <c r="U66" i="1"/>
  <c r="T66" i="1"/>
  <c r="Q66" i="1"/>
  <c r="P66" i="1"/>
  <c r="M66" i="1"/>
  <c r="L66" i="1"/>
  <c r="I66" i="1"/>
  <c r="H66" i="1"/>
  <c r="E66" i="1"/>
  <c r="D66" i="1"/>
  <c r="AI65" i="1"/>
  <c r="AK65" i="1" s="1"/>
  <c r="Z65" i="1"/>
  <c r="V65" i="1"/>
  <c r="R65" i="1"/>
  <c r="N65" i="1"/>
  <c r="J65" i="1"/>
  <c r="F65" i="1"/>
  <c r="B65" i="1"/>
  <c r="AK64" i="1"/>
  <c r="AI64" i="1"/>
  <c r="AH64" i="1"/>
  <c r="AJ64" i="1" s="1"/>
  <c r="AE64" i="1"/>
  <c r="AG64" i="1" s="1"/>
  <c r="AD64" i="1"/>
  <c r="AF64" i="1" s="1"/>
  <c r="AC64" i="1"/>
  <c r="AB64" i="1"/>
  <c r="AA64" i="1"/>
  <c r="Y64" i="1"/>
  <c r="W64" i="1"/>
  <c r="V64" i="1"/>
  <c r="X64" i="1" s="1"/>
  <c r="U64" i="1"/>
  <c r="T64" i="1"/>
  <c r="S64" i="1"/>
  <c r="R64" i="1"/>
  <c r="Q64" i="1"/>
  <c r="O64" i="1"/>
  <c r="N64" i="1"/>
  <c r="P64" i="1" s="1"/>
  <c r="M64" i="1"/>
  <c r="L64" i="1"/>
  <c r="K64" i="1"/>
  <c r="J64" i="1"/>
  <c r="I64" i="1"/>
  <c r="G64" i="1"/>
  <c r="F64" i="1"/>
  <c r="H64" i="1" s="1"/>
  <c r="E64" i="1"/>
  <c r="D64" i="1"/>
  <c r="C64" i="1"/>
  <c r="B64" i="1"/>
  <c r="AK63" i="1"/>
  <c r="AJ63" i="1"/>
  <c r="AI63" i="1"/>
  <c r="AH63" i="1"/>
  <c r="AG63" i="1"/>
  <c r="AF63" i="1"/>
  <c r="AE63" i="1"/>
  <c r="AC63" i="1"/>
  <c r="AB63" i="1"/>
  <c r="AA63" i="1"/>
  <c r="W63" i="1"/>
  <c r="Y63" i="1" s="1"/>
  <c r="V63" i="1"/>
  <c r="X63" i="1" s="1"/>
  <c r="S63" i="1"/>
  <c r="Q63" i="1"/>
  <c r="P63" i="1"/>
  <c r="O63" i="1"/>
  <c r="M63" i="1"/>
  <c r="K63" i="1"/>
  <c r="J63" i="1"/>
  <c r="L63" i="1" s="1"/>
  <c r="I63" i="1"/>
  <c r="H63" i="1"/>
  <c r="G63" i="1"/>
  <c r="D63" i="1"/>
  <c r="C63" i="1"/>
  <c r="E63" i="1" s="1"/>
  <c r="B63" i="1"/>
  <c r="AJ62" i="1"/>
  <c r="AI62" i="1"/>
  <c r="AK62" i="1" s="1"/>
  <c r="AH62" i="1"/>
  <c r="AH65" i="1" s="1"/>
  <c r="AJ65" i="1" s="1"/>
  <c r="AG62" i="1"/>
  <c r="AF62" i="1"/>
  <c r="AE62" i="1"/>
  <c r="AD62" i="1"/>
  <c r="AB62" i="1"/>
  <c r="AA62" i="1"/>
  <c r="AC62" i="1" s="1"/>
  <c r="Z62" i="1"/>
  <c r="Y62" i="1"/>
  <c r="X62" i="1"/>
  <c r="W62" i="1"/>
  <c r="V62" i="1"/>
  <c r="T62" i="1"/>
  <c r="S62" i="1"/>
  <c r="U62" i="1" s="1"/>
  <c r="R62" i="1"/>
  <c r="Q62" i="1"/>
  <c r="P62" i="1"/>
  <c r="O62" i="1"/>
  <c r="N62" i="1"/>
  <c r="L62" i="1"/>
  <c r="K62" i="1"/>
  <c r="M62" i="1" s="1"/>
  <c r="J62" i="1"/>
  <c r="I62" i="1"/>
  <c r="H62" i="1"/>
  <c r="G62" i="1"/>
  <c r="AM62" i="1" s="1"/>
  <c r="F62" i="1"/>
  <c r="D62" i="1"/>
  <c r="C62" i="1"/>
  <c r="E62" i="1" s="1"/>
  <c r="B62" i="1"/>
  <c r="AL62" i="1" s="1"/>
  <c r="AN62" i="1" s="1"/>
  <c r="AJ61" i="1"/>
  <c r="AI61" i="1"/>
  <c r="AK61" i="1" s="1"/>
  <c r="AE61" i="1"/>
  <c r="AC61" i="1"/>
  <c r="AB61" i="1"/>
  <c r="AA61" i="1"/>
  <c r="Y61" i="1"/>
  <c r="X61" i="1"/>
  <c r="W61" i="1"/>
  <c r="U61" i="1"/>
  <c r="T61" i="1"/>
  <c r="S61" i="1"/>
  <c r="O61" i="1"/>
  <c r="Q61" i="1" s="1"/>
  <c r="N61" i="1"/>
  <c r="AL61" i="1" s="1"/>
  <c r="K61" i="1"/>
  <c r="I61" i="1"/>
  <c r="H61" i="1"/>
  <c r="G61" i="1"/>
  <c r="E61" i="1"/>
  <c r="D61" i="1"/>
  <c r="C61" i="1"/>
  <c r="AJ60" i="1"/>
  <c r="AI60" i="1"/>
  <c r="AK60" i="1" s="1"/>
  <c r="AE60" i="1"/>
  <c r="AC60" i="1"/>
  <c r="AB60" i="1"/>
  <c r="AA60" i="1"/>
  <c r="AA65" i="1" s="1"/>
  <c r="AC65" i="1" s="1"/>
  <c r="Y60" i="1"/>
  <c r="X60" i="1"/>
  <c r="W60" i="1"/>
  <c r="W65" i="1" s="1"/>
  <c r="Y65" i="1" s="1"/>
  <c r="T60" i="1"/>
  <c r="S60" i="1"/>
  <c r="R60" i="1"/>
  <c r="AL60" i="1" s="1"/>
  <c r="P60" i="1"/>
  <c r="O60" i="1"/>
  <c r="Q60" i="1" s="1"/>
  <c r="K60" i="1"/>
  <c r="I60" i="1"/>
  <c r="H60" i="1"/>
  <c r="G60" i="1"/>
  <c r="E60" i="1"/>
  <c r="D60" i="1"/>
  <c r="C60" i="1"/>
  <c r="C65" i="1" s="1"/>
  <c r="AN59" i="1"/>
  <c r="AM59" i="1"/>
  <c r="AO59" i="1" s="1"/>
  <c r="AL59" i="1"/>
  <c r="AK59" i="1"/>
  <c r="AJ59" i="1"/>
  <c r="AG59" i="1"/>
  <c r="AF59" i="1"/>
  <c r="AC59" i="1"/>
  <c r="AB59" i="1"/>
  <c r="Y59" i="1"/>
  <c r="X59" i="1"/>
  <c r="U59" i="1"/>
  <c r="T59" i="1"/>
  <c r="Q59" i="1"/>
  <c r="P59" i="1"/>
  <c r="M59" i="1"/>
  <c r="L59" i="1"/>
  <c r="I59" i="1"/>
  <c r="H59" i="1"/>
  <c r="E59" i="1"/>
  <c r="D59" i="1"/>
  <c r="V58" i="1"/>
  <c r="N58" i="1"/>
  <c r="AI57" i="1"/>
  <c r="AI58" i="1" s="1"/>
  <c r="AH57" i="1"/>
  <c r="AK57" i="1" s="1"/>
  <c r="AE57" i="1"/>
  <c r="AG57" i="1" s="1"/>
  <c r="AD57" i="1"/>
  <c r="AF57" i="1" s="1"/>
  <c r="AA57" i="1"/>
  <c r="AA58" i="1" s="1"/>
  <c r="Z57" i="1"/>
  <c r="AC57" i="1" s="1"/>
  <c r="W57" i="1"/>
  <c r="V57" i="1"/>
  <c r="X57" i="1" s="1"/>
  <c r="S57" i="1"/>
  <c r="S58" i="1" s="1"/>
  <c r="R57" i="1"/>
  <c r="U57" i="1" s="1"/>
  <c r="O57" i="1"/>
  <c r="Q57" i="1" s="1"/>
  <c r="N57" i="1"/>
  <c r="P57" i="1" s="1"/>
  <c r="K57" i="1"/>
  <c r="K58" i="1" s="1"/>
  <c r="J57" i="1"/>
  <c r="M57" i="1" s="1"/>
  <c r="G57" i="1"/>
  <c r="F57" i="1"/>
  <c r="H57" i="1" s="1"/>
  <c r="C57" i="1"/>
  <c r="C58" i="1" s="1"/>
  <c r="B57" i="1"/>
  <c r="E57" i="1" s="1"/>
  <c r="AM56" i="1"/>
  <c r="AO56" i="1" s="1"/>
  <c r="AL56" i="1"/>
  <c r="AN56" i="1" s="1"/>
  <c r="AK56" i="1"/>
  <c r="AJ56" i="1"/>
  <c r="AG56" i="1"/>
  <c r="AF56" i="1"/>
  <c r="AC56" i="1"/>
  <c r="AB56" i="1"/>
  <c r="Y56" i="1"/>
  <c r="X56" i="1"/>
  <c r="U56" i="1"/>
  <c r="T56" i="1"/>
  <c r="Q56" i="1"/>
  <c r="P56" i="1"/>
  <c r="M56" i="1"/>
  <c r="L56" i="1"/>
  <c r="I56" i="1"/>
  <c r="H56" i="1"/>
  <c r="E56" i="1"/>
  <c r="D56" i="1"/>
  <c r="AJ55" i="1"/>
  <c r="AH55" i="1"/>
  <c r="AD55" i="1"/>
  <c r="AA55" i="1"/>
  <c r="AC55" i="1" s="1"/>
  <c r="X55" i="1"/>
  <c r="V55" i="1"/>
  <c r="T55" i="1"/>
  <c r="S55" i="1"/>
  <c r="U55" i="1" s="1"/>
  <c r="R55" i="1"/>
  <c r="N55" i="1"/>
  <c r="L55" i="1"/>
  <c r="K55" i="1"/>
  <c r="M55" i="1" s="1"/>
  <c r="J55" i="1"/>
  <c r="H55" i="1"/>
  <c r="F55" i="1"/>
  <c r="D55" i="1"/>
  <c r="B55" i="1"/>
  <c r="AL54" i="1"/>
  <c r="AJ54" i="1"/>
  <c r="AI54" i="1"/>
  <c r="AI55" i="1" s="1"/>
  <c r="AE54" i="1"/>
  <c r="AA54" i="1"/>
  <c r="AC54" i="1" s="1"/>
  <c r="Y54" i="1"/>
  <c r="X54" i="1"/>
  <c r="W54" i="1"/>
  <c r="W55" i="1" s="1"/>
  <c r="T54" i="1"/>
  <c r="S54" i="1"/>
  <c r="U54" i="1" s="1"/>
  <c r="O54" i="1"/>
  <c r="M54" i="1"/>
  <c r="L54" i="1"/>
  <c r="K54" i="1"/>
  <c r="I54" i="1"/>
  <c r="G54" i="1"/>
  <c r="G55" i="1" s="1"/>
  <c r="D54" i="1"/>
  <c r="C54" i="1"/>
  <c r="C55" i="1" s="1"/>
  <c r="AM53" i="1"/>
  <c r="AO53" i="1" s="1"/>
  <c r="AK53" i="1"/>
  <c r="AJ53" i="1"/>
  <c r="AG53" i="1"/>
  <c r="AF53" i="1"/>
  <c r="AC53" i="1"/>
  <c r="Z53" i="1"/>
  <c r="Y53" i="1"/>
  <c r="X53" i="1"/>
  <c r="U53" i="1"/>
  <c r="T53" i="1"/>
  <c r="Q53" i="1"/>
  <c r="P53" i="1"/>
  <c r="M53" i="1"/>
  <c r="L53" i="1"/>
  <c r="I53" i="1"/>
  <c r="H53" i="1"/>
  <c r="E53" i="1"/>
  <c r="D53" i="1"/>
  <c r="AO52" i="1"/>
  <c r="AM52" i="1"/>
  <c r="AL52" i="1"/>
  <c r="AN52" i="1" s="1"/>
  <c r="AK52" i="1"/>
  <c r="AJ52" i="1"/>
  <c r="AG52" i="1"/>
  <c r="AF52" i="1"/>
  <c r="AC52" i="1"/>
  <c r="AB52" i="1"/>
  <c r="Y52" i="1"/>
  <c r="X52" i="1"/>
  <c r="U52" i="1"/>
  <c r="T52" i="1"/>
  <c r="Q52" i="1"/>
  <c r="P52" i="1"/>
  <c r="M52" i="1"/>
  <c r="L52" i="1"/>
  <c r="I52" i="1"/>
  <c r="H52" i="1"/>
  <c r="E52" i="1"/>
  <c r="D52" i="1"/>
  <c r="AH48" i="1"/>
  <c r="AF48" i="1"/>
  <c r="AD48" i="1"/>
  <c r="T48" i="1"/>
  <c r="AM47" i="1"/>
  <c r="AO47" i="1" s="1"/>
  <c r="AK47" i="1"/>
  <c r="AJ47" i="1"/>
  <c r="AG47" i="1"/>
  <c r="AF47" i="1"/>
  <c r="AC47" i="1"/>
  <c r="AB47" i="1"/>
  <c r="Y47" i="1"/>
  <c r="X47" i="1"/>
  <c r="U47" i="1"/>
  <c r="T47" i="1"/>
  <c r="R47" i="1"/>
  <c r="R48" i="1" s="1"/>
  <c r="Q47" i="1"/>
  <c r="N47" i="1"/>
  <c r="M47" i="1"/>
  <c r="L47" i="1"/>
  <c r="I47" i="1"/>
  <c r="H47" i="1"/>
  <c r="E47" i="1"/>
  <c r="D47" i="1"/>
  <c r="AJ46" i="1"/>
  <c r="AI46" i="1"/>
  <c r="AK46" i="1" s="1"/>
  <c r="AE46" i="1"/>
  <c r="AC46" i="1"/>
  <c r="AA46" i="1"/>
  <c r="Z46" i="1"/>
  <c r="W46" i="1"/>
  <c r="Y46" i="1" s="1"/>
  <c r="U46" i="1"/>
  <c r="T46" i="1"/>
  <c r="S46" i="1"/>
  <c r="P46" i="1"/>
  <c r="O46" i="1"/>
  <c r="Q46" i="1" s="1"/>
  <c r="N46" i="1"/>
  <c r="L46" i="1"/>
  <c r="K46" i="1"/>
  <c r="M46" i="1" s="1"/>
  <c r="J46" i="1"/>
  <c r="H46" i="1"/>
  <c r="G46" i="1"/>
  <c r="I46" i="1" s="1"/>
  <c r="F46" i="1"/>
  <c r="C46" i="1"/>
  <c r="B46" i="1"/>
  <c r="AL46" i="1" s="1"/>
  <c r="AL45" i="1"/>
  <c r="AI45" i="1"/>
  <c r="AK45" i="1" s="1"/>
  <c r="AE45" i="1"/>
  <c r="AA45" i="1"/>
  <c r="AC45" i="1" s="1"/>
  <c r="Y45" i="1"/>
  <c r="X45" i="1"/>
  <c r="W45" i="1"/>
  <c r="T45" i="1"/>
  <c r="S45" i="1"/>
  <c r="U45" i="1" s="1"/>
  <c r="O45" i="1"/>
  <c r="M45" i="1"/>
  <c r="L45" i="1"/>
  <c r="K45" i="1"/>
  <c r="I45" i="1"/>
  <c r="G45" i="1"/>
  <c r="H45" i="1" s="1"/>
  <c r="C45" i="1"/>
  <c r="AI44" i="1"/>
  <c r="AG44" i="1"/>
  <c r="AF44" i="1"/>
  <c r="AE44" i="1"/>
  <c r="AC44" i="1"/>
  <c r="AA44" i="1"/>
  <c r="AB44" i="1" s="1"/>
  <c r="W44" i="1"/>
  <c r="Y44" i="1" s="1"/>
  <c r="V44" i="1"/>
  <c r="V48" i="1" s="1"/>
  <c r="T44" i="1"/>
  <c r="S44" i="1"/>
  <c r="U44" i="1" s="1"/>
  <c r="O44" i="1"/>
  <c r="AM44" i="1" s="1"/>
  <c r="M44" i="1"/>
  <c r="K44" i="1"/>
  <c r="J44" i="1"/>
  <c r="L44" i="1" s="1"/>
  <c r="G44" i="1"/>
  <c r="I44" i="1" s="1"/>
  <c r="F44" i="1"/>
  <c r="C44" i="1"/>
  <c r="B44" i="1"/>
  <c r="E44" i="1" s="1"/>
  <c r="AL43" i="1"/>
  <c r="AK43" i="1"/>
  <c r="AJ43" i="1"/>
  <c r="AI43" i="1"/>
  <c r="AI48" i="1" s="1"/>
  <c r="AK48" i="1" s="1"/>
  <c r="AG43" i="1"/>
  <c r="AE43" i="1"/>
  <c r="AE48" i="1" s="1"/>
  <c r="AG48" i="1" s="1"/>
  <c r="AB43" i="1"/>
  <c r="AA43" i="1"/>
  <c r="W43" i="1"/>
  <c r="T43" i="1"/>
  <c r="S43" i="1"/>
  <c r="S48" i="1" s="1"/>
  <c r="U48" i="1" s="1"/>
  <c r="Q43" i="1"/>
  <c r="P43" i="1"/>
  <c r="O43" i="1"/>
  <c r="L43" i="1"/>
  <c r="K43" i="1"/>
  <c r="M43" i="1" s="1"/>
  <c r="G43" i="1"/>
  <c r="E43" i="1"/>
  <c r="D43" i="1"/>
  <c r="C43" i="1"/>
  <c r="AO42" i="1"/>
  <c r="AM42" i="1"/>
  <c r="AK42" i="1"/>
  <c r="AJ42" i="1"/>
  <c r="AG42" i="1"/>
  <c r="AF42" i="1"/>
  <c r="AC42" i="1"/>
  <c r="AB42" i="1"/>
  <c r="Y42" i="1"/>
  <c r="X42" i="1"/>
  <c r="U42" i="1"/>
  <c r="T42" i="1"/>
  <c r="Q42" i="1"/>
  <c r="N42" i="1"/>
  <c r="M42" i="1"/>
  <c r="L42" i="1"/>
  <c r="J42" i="1"/>
  <c r="J48" i="1" s="1"/>
  <c r="I42" i="1"/>
  <c r="H42" i="1"/>
  <c r="E42" i="1"/>
  <c r="B42" i="1"/>
  <c r="AM41" i="1"/>
  <c r="AO41" i="1" s="1"/>
  <c r="AL41" i="1"/>
  <c r="AN41" i="1" s="1"/>
  <c r="AK41" i="1"/>
  <c r="AJ41" i="1"/>
  <c r="AG41" i="1"/>
  <c r="AF41" i="1"/>
  <c r="AC41" i="1"/>
  <c r="AB41" i="1"/>
  <c r="Y41" i="1"/>
  <c r="X41" i="1"/>
  <c r="U41" i="1"/>
  <c r="T41" i="1"/>
  <c r="Q41" i="1"/>
  <c r="P41" i="1"/>
  <c r="M41" i="1"/>
  <c r="L41" i="1"/>
  <c r="I41" i="1"/>
  <c r="H41" i="1"/>
  <c r="E41" i="1"/>
  <c r="D41" i="1"/>
  <c r="AD40" i="1"/>
  <c r="AA40" i="1"/>
  <c r="Z40" i="1"/>
  <c r="V40" i="1"/>
  <c r="R40" i="1"/>
  <c r="N40" i="1"/>
  <c r="L40" i="1"/>
  <c r="K40" i="1"/>
  <c r="M40" i="1" s="1"/>
  <c r="J40" i="1"/>
  <c r="F40" i="1"/>
  <c r="B40" i="1"/>
  <c r="AL39" i="1"/>
  <c r="AI39" i="1"/>
  <c r="AK39" i="1" s="1"/>
  <c r="AG39" i="1"/>
  <c r="AE39" i="1"/>
  <c r="AF39" i="1" s="1"/>
  <c r="AB39" i="1"/>
  <c r="AA39" i="1"/>
  <c r="AC39" i="1" s="1"/>
  <c r="W39" i="1"/>
  <c r="Y39" i="1" s="1"/>
  <c r="T39" i="1"/>
  <c r="S39" i="1"/>
  <c r="U39" i="1" s="1"/>
  <c r="P39" i="1"/>
  <c r="O39" i="1"/>
  <c r="Q39" i="1" s="1"/>
  <c r="M39" i="1"/>
  <c r="L39" i="1"/>
  <c r="K39" i="1"/>
  <c r="G39" i="1"/>
  <c r="C39" i="1"/>
  <c r="AI38" i="1"/>
  <c r="AH38" i="1"/>
  <c r="AE38" i="1"/>
  <c r="AA38" i="1"/>
  <c r="AC38" i="1" s="1"/>
  <c r="W38" i="1"/>
  <c r="V38" i="1"/>
  <c r="U38" i="1"/>
  <c r="T38" i="1"/>
  <c r="S38" i="1"/>
  <c r="S40" i="1" s="1"/>
  <c r="O38" i="1"/>
  <c r="M38" i="1"/>
  <c r="K38" i="1"/>
  <c r="L38" i="1" s="1"/>
  <c r="I38" i="1"/>
  <c r="H38" i="1"/>
  <c r="G38" i="1"/>
  <c r="C38" i="1"/>
  <c r="AM37" i="1"/>
  <c r="AO37" i="1" s="1"/>
  <c r="AL37" i="1"/>
  <c r="AN37" i="1" s="1"/>
  <c r="AK37" i="1"/>
  <c r="AJ37" i="1"/>
  <c r="AG37" i="1"/>
  <c r="AF37" i="1"/>
  <c r="AC37" i="1"/>
  <c r="AB37" i="1"/>
  <c r="Y37" i="1"/>
  <c r="X37" i="1"/>
  <c r="U37" i="1"/>
  <c r="T37" i="1"/>
  <c r="Q37" i="1"/>
  <c r="P37" i="1"/>
  <c r="M37" i="1"/>
  <c r="L37" i="1"/>
  <c r="I37" i="1"/>
  <c r="H37" i="1"/>
  <c r="E37" i="1"/>
  <c r="D37" i="1"/>
  <c r="AH36" i="1"/>
  <c r="Z36" i="1"/>
  <c r="J36" i="1"/>
  <c r="AL35" i="1"/>
  <c r="AK35" i="1"/>
  <c r="AJ35" i="1"/>
  <c r="AI35" i="1"/>
  <c r="AH35" i="1"/>
  <c r="AG35" i="1"/>
  <c r="AF35" i="1"/>
  <c r="AE35" i="1"/>
  <c r="AC35" i="1"/>
  <c r="AB35" i="1"/>
  <c r="AA35" i="1"/>
  <c r="W35" i="1"/>
  <c r="V35" i="1"/>
  <c r="X35" i="1" s="1"/>
  <c r="S35" i="1"/>
  <c r="U35" i="1" s="1"/>
  <c r="R35" i="1"/>
  <c r="O35" i="1"/>
  <c r="N35" i="1"/>
  <c r="Q35" i="1" s="1"/>
  <c r="L35" i="1"/>
  <c r="K35" i="1"/>
  <c r="J35" i="1"/>
  <c r="I35" i="1"/>
  <c r="H35" i="1"/>
  <c r="G35" i="1"/>
  <c r="F35" i="1"/>
  <c r="C35" i="1"/>
  <c r="B35" i="1"/>
  <c r="AI34" i="1"/>
  <c r="AH34" i="1"/>
  <c r="AG34" i="1"/>
  <c r="AF34" i="1"/>
  <c r="AE34" i="1"/>
  <c r="AA34" i="1"/>
  <c r="AC34" i="1" s="1"/>
  <c r="Y34" i="1"/>
  <c r="W34" i="1"/>
  <c r="V34" i="1"/>
  <c r="X34" i="1" s="1"/>
  <c r="S34" i="1"/>
  <c r="R34" i="1"/>
  <c r="U34" i="1" s="1"/>
  <c r="O34" i="1"/>
  <c r="Q34" i="1" s="1"/>
  <c r="N34" i="1"/>
  <c r="K34" i="1"/>
  <c r="J34" i="1"/>
  <c r="M34" i="1" s="1"/>
  <c r="G34" i="1"/>
  <c r="F34" i="1"/>
  <c r="C34" i="1"/>
  <c r="B34" i="1"/>
  <c r="E34" i="1" s="1"/>
  <c r="AM33" i="1"/>
  <c r="AO33" i="1" s="1"/>
  <c r="AK33" i="1"/>
  <c r="AH33" i="1"/>
  <c r="AJ33" i="1" s="1"/>
  <c r="AG33" i="1"/>
  <c r="AF33" i="1"/>
  <c r="AD33" i="1"/>
  <c r="AD36" i="1" s="1"/>
  <c r="AF36" i="1" s="1"/>
  <c r="AC33" i="1"/>
  <c r="AB33" i="1"/>
  <c r="Z33" i="1"/>
  <c r="Y33" i="1"/>
  <c r="V33" i="1"/>
  <c r="X33" i="1" s="1"/>
  <c r="U33" i="1"/>
  <c r="R33" i="1"/>
  <c r="T33" i="1" s="1"/>
  <c r="Q33" i="1"/>
  <c r="P33" i="1"/>
  <c r="N33" i="1"/>
  <c r="M33" i="1"/>
  <c r="L33" i="1"/>
  <c r="I33" i="1"/>
  <c r="H33" i="1"/>
  <c r="E33" i="1"/>
  <c r="D33" i="1"/>
  <c r="AI32" i="1"/>
  <c r="AK32" i="1" s="1"/>
  <c r="AH32" i="1"/>
  <c r="AG32" i="1"/>
  <c r="AE32" i="1"/>
  <c r="AF32" i="1" s="1"/>
  <c r="AC32" i="1"/>
  <c r="AB32" i="1"/>
  <c r="AA32" i="1"/>
  <c r="Y32" i="1"/>
  <c r="X32" i="1"/>
  <c r="W32" i="1"/>
  <c r="V32" i="1"/>
  <c r="S32" i="1"/>
  <c r="S36" i="1" s="1"/>
  <c r="R32" i="1"/>
  <c r="Q32" i="1"/>
  <c r="P32" i="1"/>
  <c r="O32" i="1"/>
  <c r="N32" i="1"/>
  <c r="K32" i="1"/>
  <c r="J32" i="1"/>
  <c r="I32" i="1"/>
  <c r="H32" i="1"/>
  <c r="G32" i="1"/>
  <c r="F32" i="1"/>
  <c r="C32" i="1"/>
  <c r="B32" i="1"/>
  <c r="AI31" i="1"/>
  <c r="AH31" i="1"/>
  <c r="AG31" i="1"/>
  <c r="AF31" i="1"/>
  <c r="AE31" i="1"/>
  <c r="AE36" i="1" s="1"/>
  <c r="AA31" i="1"/>
  <c r="AC31" i="1" s="1"/>
  <c r="W31" i="1"/>
  <c r="W36" i="1" s="1"/>
  <c r="V31" i="1"/>
  <c r="S31" i="1"/>
  <c r="R31" i="1"/>
  <c r="U31" i="1" s="1"/>
  <c r="O31" i="1"/>
  <c r="N31" i="1"/>
  <c r="K31" i="1"/>
  <c r="J31" i="1"/>
  <c r="M31" i="1" s="1"/>
  <c r="G31" i="1"/>
  <c r="F31" i="1"/>
  <c r="H31" i="1" s="1"/>
  <c r="C31" i="1"/>
  <c r="C36" i="1" s="1"/>
  <c r="B31" i="1"/>
  <c r="E31" i="1" s="1"/>
  <c r="AO30" i="1"/>
  <c r="AM30" i="1"/>
  <c r="AL30" i="1"/>
  <c r="AN30" i="1" s="1"/>
  <c r="AK30" i="1"/>
  <c r="AJ30" i="1"/>
  <c r="AG30" i="1"/>
  <c r="AF30" i="1"/>
  <c r="AC30" i="1"/>
  <c r="AB30" i="1"/>
  <c r="Y30" i="1"/>
  <c r="X30" i="1"/>
  <c r="U30" i="1"/>
  <c r="T30" i="1"/>
  <c r="Q30" i="1"/>
  <c r="P30" i="1"/>
  <c r="M30" i="1"/>
  <c r="L30" i="1"/>
  <c r="I30" i="1"/>
  <c r="H30" i="1"/>
  <c r="E30" i="1"/>
  <c r="D30" i="1"/>
  <c r="AI29" i="1"/>
  <c r="AK29" i="1" s="1"/>
  <c r="W29" i="1"/>
  <c r="Y29" i="1" s="1"/>
  <c r="S29" i="1"/>
  <c r="U29" i="1" s="1"/>
  <c r="C29" i="1"/>
  <c r="AK28" i="1"/>
  <c r="AJ28" i="1"/>
  <c r="AI28" i="1"/>
  <c r="AE28" i="1"/>
  <c r="AG28" i="1" s="1"/>
  <c r="AC28" i="1"/>
  <c r="AA28" i="1"/>
  <c r="AB28" i="1" s="1"/>
  <c r="Y28" i="1"/>
  <c r="X28" i="1"/>
  <c r="W28" i="1"/>
  <c r="S28" i="1"/>
  <c r="R28" i="1"/>
  <c r="AL28" i="1" s="1"/>
  <c r="Q28" i="1"/>
  <c r="P28" i="1"/>
  <c r="O28" i="1"/>
  <c r="K28" i="1"/>
  <c r="M28" i="1" s="1"/>
  <c r="G28" i="1"/>
  <c r="H28" i="1" s="1"/>
  <c r="E28" i="1"/>
  <c r="D28" i="1"/>
  <c r="C28" i="1"/>
  <c r="AM27" i="1"/>
  <c r="AK27" i="1"/>
  <c r="AJ27" i="1"/>
  <c r="AI27" i="1"/>
  <c r="AH27" i="1"/>
  <c r="AH29" i="1" s="1"/>
  <c r="AJ29" i="1" s="1"/>
  <c r="AE27" i="1"/>
  <c r="AD27" i="1"/>
  <c r="AD29" i="1" s="1"/>
  <c r="AC27" i="1"/>
  <c r="AB27" i="1"/>
  <c r="AA27" i="1"/>
  <c r="AA29" i="1" s="1"/>
  <c r="AC29" i="1" s="1"/>
  <c r="Z27" i="1"/>
  <c r="Z29" i="1" s="1"/>
  <c r="W27" i="1"/>
  <c r="V27" i="1"/>
  <c r="V29" i="1" s="1"/>
  <c r="S27" i="1"/>
  <c r="U27" i="1" s="1"/>
  <c r="R27" i="1"/>
  <c r="R29" i="1" s="1"/>
  <c r="T29" i="1" s="1"/>
  <c r="O27" i="1"/>
  <c r="N27" i="1"/>
  <c r="N29" i="1" s="1"/>
  <c r="K27" i="1"/>
  <c r="M27" i="1" s="1"/>
  <c r="J27" i="1"/>
  <c r="J29" i="1" s="1"/>
  <c r="G27" i="1"/>
  <c r="F27" i="1"/>
  <c r="F29" i="1" s="1"/>
  <c r="E27" i="1"/>
  <c r="D27" i="1"/>
  <c r="C27" i="1"/>
  <c r="B27" i="1"/>
  <c r="B29" i="1" s="1"/>
  <c r="D29" i="1" s="1"/>
  <c r="AM26" i="1"/>
  <c r="AL26" i="1"/>
  <c r="AK26" i="1"/>
  <c r="AJ26" i="1"/>
  <c r="AG26" i="1"/>
  <c r="AF26" i="1"/>
  <c r="AC26" i="1"/>
  <c r="AB26" i="1"/>
  <c r="Y26" i="1"/>
  <c r="X26" i="1"/>
  <c r="U26" i="1"/>
  <c r="T26" i="1"/>
  <c r="Q26" i="1"/>
  <c r="P26" i="1"/>
  <c r="M26" i="1"/>
  <c r="L26" i="1"/>
  <c r="I26" i="1"/>
  <c r="H26" i="1"/>
  <c r="E26" i="1"/>
  <c r="D26" i="1"/>
  <c r="AH25" i="1"/>
  <c r="AD25" i="1"/>
  <c r="AA25" i="1"/>
  <c r="AC25" i="1" s="1"/>
  <c r="Z25" i="1"/>
  <c r="V25" i="1"/>
  <c r="S25" i="1"/>
  <c r="U25" i="1" s="1"/>
  <c r="R25" i="1"/>
  <c r="J25" i="1"/>
  <c r="F25" i="1"/>
  <c r="B25" i="1"/>
  <c r="AL24" i="1"/>
  <c r="AK24" i="1"/>
  <c r="AI24" i="1"/>
  <c r="AJ24" i="1" s="1"/>
  <c r="AG24" i="1"/>
  <c r="AF24" i="1"/>
  <c r="AE24" i="1"/>
  <c r="AA24" i="1"/>
  <c r="X24" i="1"/>
  <c r="W24" i="1"/>
  <c r="Y24" i="1" s="1"/>
  <c r="U24" i="1"/>
  <c r="S24" i="1"/>
  <c r="T24" i="1" s="1"/>
  <c r="Q24" i="1"/>
  <c r="P24" i="1"/>
  <c r="O24" i="1"/>
  <c r="M24" i="1"/>
  <c r="L24" i="1"/>
  <c r="K24" i="1"/>
  <c r="G24" i="1"/>
  <c r="C24" i="1"/>
  <c r="AL23" i="1"/>
  <c r="AK23" i="1"/>
  <c r="AJ23" i="1"/>
  <c r="AI23" i="1"/>
  <c r="AE23" i="1"/>
  <c r="AG23" i="1" s="1"/>
  <c r="AA23" i="1"/>
  <c r="W23" i="1"/>
  <c r="X23" i="1" s="1"/>
  <c r="U23" i="1"/>
  <c r="T23" i="1"/>
  <c r="S23" i="1"/>
  <c r="O23" i="1"/>
  <c r="Q23" i="1" s="1"/>
  <c r="K23" i="1"/>
  <c r="M23" i="1" s="1"/>
  <c r="I23" i="1"/>
  <c r="G23" i="1"/>
  <c r="H23" i="1" s="1"/>
  <c r="E23" i="1"/>
  <c r="D23" i="1"/>
  <c r="C23" i="1"/>
  <c r="AJ22" i="1"/>
  <c r="AI22" i="1"/>
  <c r="AK22" i="1" s="1"/>
  <c r="AH22" i="1"/>
  <c r="AE22" i="1"/>
  <c r="AG22" i="1" s="1"/>
  <c r="AA22" i="1"/>
  <c r="W22" i="1"/>
  <c r="X22" i="1" s="1"/>
  <c r="U22" i="1"/>
  <c r="T22" i="1"/>
  <c r="S22" i="1"/>
  <c r="R22" i="1"/>
  <c r="Q22" i="1"/>
  <c r="O22" i="1"/>
  <c r="N22" i="1"/>
  <c r="M22" i="1"/>
  <c r="L22" i="1"/>
  <c r="K22" i="1"/>
  <c r="G22" i="1"/>
  <c r="I22" i="1" s="1"/>
  <c r="C22" i="1"/>
  <c r="E22" i="1" s="1"/>
  <c r="AL21" i="1"/>
  <c r="AK21" i="1"/>
  <c r="AI21" i="1"/>
  <c r="AJ21" i="1" s="1"/>
  <c r="AG21" i="1"/>
  <c r="AF21" i="1"/>
  <c r="AE21" i="1"/>
  <c r="AD21" i="1"/>
  <c r="AC21" i="1"/>
  <c r="AB21" i="1"/>
  <c r="AA21" i="1"/>
  <c r="W21" i="1"/>
  <c r="S21" i="1"/>
  <c r="O21" i="1"/>
  <c r="M21" i="1"/>
  <c r="L21" i="1"/>
  <c r="K21" i="1"/>
  <c r="G21" i="1"/>
  <c r="C21" i="1"/>
  <c r="AO20" i="1"/>
  <c r="AM20" i="1"/>
  <c r="AL20" i="1"/>
  <c r="AN20" i="1" s="1"/>
  <c r="AK20" i="1"/>
  <c r="AJ20" i="1"/>
  <c r="AG20" i="1"/>
  <c r="AF20" i="1"/>
  <c r="AC20" i="1"/>
  <c r="AB20" i="1"/>
  <c r="Y20" i="1"/>
  <c r="X20" i="1"/>
  <c r="U20" i="1"/>
  <c r="T20" i="1"/>
  <c r="Q20" i="1"/>
  <c r="P20" i="1"/>
  <c r="M20" i="1"/>
  <c r="L20" i="1"/>
  <c r="I20" i="1"/>
  <c r="H20" i="1"/>
  <c r="E20" i="1"/>
  <c r="D20" i="1"/>
  <c r="AH19" i="1"/>
  <c r="AD19" i="1"/>
  <c r="AA19" i="1"/>
  <c r="AC19" i="1" s="1"/>
  <c r="Z19" i="1"/>
  <c r="V19" i="1"/>
  <c r="R19" i="1"/>
  <c r="N19" i="1"/>
  <c r="J19" i="1"/>
  <c r="F19" i="1"/>
  <c r="AL18" i="1"/>
  <c r="AJ18" i="1"/>
  <c r="AI18" i="1"/>
  <c r="AK18" i="1" s="1"/>
  <c r="AE18" i="1"/>
  <c r="AG18" i="1" s="1"/>
  <c r="AC18" i="1"/>
  <c r="AA18" i="1"/>
  <c r="AB18" i="1" s="1"/>
  <c r="Y18" i="1"/>
  <c r="X18" i="1"/>
  <c r="W18" i="1"/>
  <c r="S18" i="1"/>
  <c r="U18" i="1" s="1"/>
  <c r="O18" i="1"/>
  <c r="K18" i="1"/>
  <c r="L18" i="1" s="1"/>
  <c r="I18" i="1"/>
  <c r="H18" i="1"/>
  <c r="G18" i="1"/>
  <c r="C18" i="1"/>
  <c r="E18" i="1" s="1"/>
  <c r="AL17" i="1"/>
  <c r="AI17" i="1"/>
  <c r="AG17" i="1"/>
  <c r="AE17" i="1"/>
  <c r="AF17" i="1" s="1"/>
  <c r="AC17" i="1"/>
  <c r="AB17" i="1"/>
  <c r="AA17" i="1"/>
  <c r="W17" i="1"/>
  <c r="Y17" i="1" s="1"/>
  <c r="S17" i="1"/>
  <c r="U17" i="1" s="1"/>
  <c r="Q17" i="1"/>
  <c r="O17" i="1"/>
  <c r="P17" i="1" s="1"/>
  <c r="M17" i="1"/>
  <c r="L17" i="1"/>
  <c r="K17" i="1"/>
  <c r="G17" i="1"/>
  <c r="G19" i="1" s="1"/>
  <c r="C17" i="1"/>
  <c r="E17" i="1" s="1"/>
  <c r="B17" i="1"/>
  <c r="AN16" i="1"/>
  <c r="AM16" i="1"/>
  <c r="AO16" i="1" s="1"/>
  <c r="AL16" i="1"/>
  <c r="AK16" i="1"/>
  <c r="AJ16" i="1"/>
  <c r="AG16" i="1"/>
  <c r="AF16" i="1"/>
  <c r="AC16" i="1"/>
  <c r="AB16" i="1"/>
  <c r="Y16" i="1"/>
  <c r="X16" i="1"/>
  <c r="U16" i="1"/>
  <c r="T16" i="1"/>
  <c r="Q16" i="1"/>
  <c r="P16" i="1"/>
  <c r="M16" i="1"/>
  <c r="L16" i="1"/>
  <c r="I16" i="1"/>
  <c r="H16" i="1"/>
  <c r="E16" i="1"/>
  <c r="D16" i="1"/>
  <c r="AD15" i="1"/>
  <c r="Z15" i="1"/>
  <c r="V15" i="1"/>
  <c r="R15" i="1"/>
  <c r="N15" i="1"/>
  <c r="P15" i="1" s="1"/>
  <c r="J15" i="1"/>
  <c r="B15" i="1"/>
  <c r="AL14" i="1"/>
  <c r="AK14" i="1"/>
  <c r="AJ14" i="1"/>
  <c r="AI14" i="1"/>
  <c r="AF14" i="1"/>
  <c r="AE14" i="1"/>
  <c r="AG14" i="1" s="1"/>
  <c r="AA14" i="1"/>
  <c r="AC14" i="1" s="1"/>
  <c r="Y14" i="1"/>
  <c r="X14" i="1"/>
  <c r="W14" i="1"/>
  <c r="U14" i="1"/>
  <c r="T14" i="1"/>
  <c r="S14" i="1"/>
  <c r="Q14" i="1"/>
  <c r="P14" i="1"/>
  <c r="O14" i="1"/>
  <c r="N14" i="1"/>
  <c r="K14" i="1"/>
  <c r="M14" i="1" s="1"/>
  <c r="H14" i="1"/>
  <c r="G14" i="1"/>
  <c r="I14" i="1" s="1"/>
  <c r="E14" i="1"/>
  <c r="D14" i="1"/>
  <c r="C14" i="1"/>
  <c r="AK13" i="1"/>
  <c r="AJ13" i="1"/>
  <c r="AI13" i="1"/>
  <c r="AI15" i="1" s="1"/>
  <c r="AK15" i="1" s="1"/>
  <c r="AH13" i="1"/>
  <c r="AH15" i="1" s="1"/>
  <c r="AJ15" i="1" s="1"/>
  <c r="AG13" i="1"/>
  <c r="AF13" i="1"/>
  <c r="AE13" i="1"/>
  <c r="AB13" i="1"/>
  <c r="AA13" i="1"/>
  <c r="W13" i="1"/>
  <c r="U13" i="1"/>
  <c r="S13" i="1"/>
  <c r="Q13" i="1"/>
  <c r="P13" i="1"/>
  <c r="O13" i="1"/>
  <c r="O15" i="1" s="1"/>
  <c r="Q15" i="1" s="1"/>
  <c r="L13" i="1"/>
  <c r="K13" i="1"/>
  <c r="G13" i="1"/>
  <c r="H13" i="1" s="1"/>
  <c r="F13" i="1"/>
  <c r="F15" i="1" s="1"/>
  <c r="C13" i="1"/>
  <c r="AM12" i="1"/>
  <c r="AO12" i="1" s="1"/>
  <c r="AL12" i="1"/>
  <c r="AN12" i="1" s="1"/>
  <c r="AK12" i="1"/>
  <c r="AJ12" i="1"/>
  <c r="AG12" i="1"/>
  <c r="AF12" i="1"/>
  <c r="AC12" i="1"/>
  <c r="AB12" i="1"/>
  <c r="Y12" i="1"/>
  <c r="X12" i="1"/>
  <c r="U12" i="1"/>
  <c r="T12" i="1"/>
  <c r="Q12" i="1"/>
  <c r="P12" i="1"/>
  <c r="M12" i="1"/>
  <c r="L12" i="1"/>
  <c r="I12" i="1"/>
  <c r="H12" i="1"/>
  <c r="E12" i="1"/>
  <c r="D12" i="1"/>
  <c r="AD11" i="1"/>
  <c r="N11" i="1"/>
  <c r="J11" i="1"/>
  <c r="G11" i="1"/>
  <c r="B11" i="1"/>
  <c r="AK10" i="1"/>
  <c r="AJ10" i="1"/>
  <c r="AI10" i="1"/>
  <c r="AG10" i="1"/>
  <c r="AF10" i="1"/>
  <c r="AE10" i="1"/>
  <c r="AC10" i="1"/>
  <c r="AB10" i="1"/>
  <c r="AA10" i="1"/>
  <c r="Y10" i="1"/>
  <c r="W10" i="1"/>
  <c r="X10" i="1" s="1"/>
  <c r="U10" i="1"/>
  <c r="S10" i="1"/>
  <c r="T10" i="1" s="1"/>
  <c r="O10" i="1"/>
  <c r="Q10" i="1" s="1"/>
  <c r="N10" i="1"/>
  <c r="L10" i="1"/>
  <c r="K10" i="1"/>
  <c r="M10" i="1" s="1"/>
  <c r="I10" i="1"/>
  <c r="G10" i="1"/>
  <c r="F10" i="1"/>
  <c r="F11" i="1" s="1"/>
  <c r="C10" i="1"/>
  <c r="E10" i="1" s="1"/>
  <c r="AK9" i="1"/>
  <c r="AI9" i="1"/>
  <c r="AI11" i="1" s="1"/>
  <c r="AH9" i="1"/>
  <c r="AJ9" i="1" s="1"/>
  <c r="AE9" i="1"/>
  <c r="AG9" i="1" s="1"/>
  <c r="AB9" i="1"/>
  <c r="AA9" i="1"/>
  <c r="AA11" i="1" s="1"/>
  <c r="Z9" i="1"/>
  <c r="Z11" i="1" s="1"/>
  <c r="W9" i="1"/>
  <c r="W11" i="1" s="1"/>
  <c r="V9" i="1"/>
  <c r="Y9" i="1" s="1"/>
  <c r="T9" i="1"/>
  <c r="S9" i="1"/>
  <c r="S11" i="1" s="1"/>
  <c r="R9" i="1"/>
  <c r="R11" i="1" s="1"/>
  <c r="Q9" i="1"/>
  <c r="O9" i="1"/>
  <c r="P9" i="1" s="1"/>
  <c r="K9" i="1"/>
  <c r="K11" i="1" s="1"/>
  <c r="J9" i="1"/>
  <c r="H9" i="1"/>
  <c r="G9" i="1"/>
  <c r="I9" i="1" s="1"/>
  <c r="F9" i="1"/>
  <c r="AL9" i="1" s="1"/>
  <c r="C9" i="1"/>
  <c r="C11" i="1" s="1"/>
  <c r="B9" i="1"/>
  <c r="AN8" i="1"/>
  <c r="AM8" i="1"/>
  <c r="AO8" i="1" s="1"/>
  <c r="AL8" i="1"/>
  <c r="AK8" i="1"/>
  <c r="AJ8" i="1"/>
  <c r="AG8" i="1"/>
  <c r="AF8" i="1"/>
  <c r="AC8" i="1"/>
  <c r="AB8" i="1"/>
  <c r="Y8" i="1"/>
  <c r="X8" i="1"/>
  <c r="U8" i="1"/>
  <c r="T8" i="1"/>
  <c r="Q8" i="1"/>
  <c r="P8" i="1"/>
  <c r="M8" i="1"/>
  <c r="L8" i="1"/>
  <c r="I8" i="1"/>
  <c r="H8" i="1"/>
  <c r="E8" i="1"/>
  <c r="D8" i="1"/>
  <c r="D11" i="1" l="1"/>
  <c r="E11" i="1"/>
  <c r="T11" i="1"/>
  <c r="AN9" i="1"/>
  <c r="U11" i="1"/>
  <c r="U36" i="1"/>
  <c r="AL15" i="1"/>
  <c r="I19" i="1"/>
  <c r="H19" i="1"/>
  <c r="P11" i="1"/>
  <c r="AB29" i="1"/>
  <c r="AB11" i="1"/>
  <c r="I11" i="1"/>
  <c r="H11" i="1"/>
  <c r="M11" i="1"/>
  <c r="L11" i="1"/>
  <c r="AC11" i="1"/>
  <c r="C15" i="1"/>
  <c r="E13" i="1"/>
  <c r="D13" i="1"/>
  <c r="AM13" i="1"/>
  <c r="N36" i="1"/>
  <c r="P36" i="1" s="1"/>
  <c r="P31" i="1"/>
  <c r="D9" i="1"/>
  <c r="L9" i="1"/>
  <c r="U9" i="1"/>
  <c r="AC9" i="1"/>
  <c r="P10" i="1"/>
  <c r="S15" i="1"/>
  <c r="T13" i="1"/>
  <c r="AM14" i="1"/>
  <c r="H17" i="1"/>
  <c r="T17" i="1"/>
  <c r="AK17" i="1"/>
  <c r="AJ17" i="1"/>
  <c r="AI19" i="1"/>
  <c r="K25" i="1"/>
  <c r="M25" i="1" s="1"/>
  <c r="AB25" i="1"/>
  <c r="Q27" i="1"/>
  <c r="P27" i="1"/>
  <c r="O36" i="1"/>
  <c r="AG36" i="1"/>
  <c r="AM32" i="1"/>
  <c r="E32" i="1"/>
  <c r="D32" i="1"/>
  <c r="P34" i="1"/>
  <c r="AM61" i="1"/>
  <c r="M61" i="1"/>
  <c r="L61" i="1"/>
  <c r="L25" i="1"/>
  <c r="V11" i="1"/>
  <c r="Y11" i="1" s="1"/>
  <c r="AM18" i="1"/>
  <c r="O25" i="1"/>
  <c r="Q25" i="1" s="1"/>
  <c r="P21" i="1"/>
  <c r="AL22" i="1"/>
  <c r="N25" i="1"/>
  <c r="E29" i="1"/>
  <c r="Q31" i="1"/>
  <c r="AM35" i="1"/>
  <c r="AO35" i="1" s="1"/>
  <c r="E35" i="1"/>
  <c r="D35" i="1"/>
  <c r="AF38" i="1"/>
  <c r="AE40" i="1"/>
  <c r="AG40" i="1" s="1"/>
  <c r="E9" i="1"/>
  <c r="AM9" i="1"/>
  <c r="AO9" i="1" s="1"/>
  <c r="AL10" i="1"/>
  <c r="AN10" i="1" s="1"/>
  <c r="I17" i="1"/>
  <c r="AM10" i="1"/>
  <c r="O11" i="1"/>
  <c r="AM11" i="1" s="1"/>
  <c r="AE11" i="1"/>
  <c r="AB14" i="1"/>
  <c r="X17" i="1"/>
  <c r="AM17" i="1"/>
  <c r="AO17" i="1" s="1"/>
  <c r="M18" i="1"/>
  <c r="S19" i="1"/>
  <c r="AB19" i="1"/>
  <c r="AM21" i="1"/>
  <c r="AO21" i="1" s="1"/>
  <c r="E21" i="1"/>
  <c r="Q21" i="1"/>
  <c r="Y22" i="1"/>
  <c r="AM22" i="1"/>
  <c r="AO22" i="1" s="1"/>
  <c r="Y23" i="1"/>
  <c r="AC24" i="1"/>
  <c r="AB24" i="1"/>
  <c r="AL25" i="1"/>
  <c r="I27" i="1"/>
  <c r="H27" i="1"/>
  <c r="G29" i="1"/>
  <c r="I29" i="1" s="1"/>
  <c r="AG38" i="1"/>
  <c r="AC40" i="1"/>
  <c r="AB40" i="1"/>
  <c r="W40" i="1"/>
  <c r="Y38" i="1"/>
  <c r="X38" i="1"/>
  <c r="H10" i="1"/>
  <c r="AF9" i="1"/>
  <c r="Y13" i="1"/>
  <c r="X13" i="1"/>
  <c r="W15" i="1"/>
  <c r="Y15" i="1" s="1"/>
  <c r="X9" i="1"/>
  <c r="K15" i="1"/>
  <c r="K49" i="1" s="1"/>
  <c r="M13" i="1"/>
  <c r="AA15" i="1"/>
  <c r="Q18" i="1"/>
  <c r="P18" i="1"/>
  <c r="K19" i="1"/>
  <c r="D21" i="1"/>
  <c r="U21" i="1"/>
  <c r="T21" i="1"/>
  <c r="AE25" i="1"/>
  <c r="AG25" i="1" s="1"/>
  <c r="D22" i="1"/>
  <c r="P22" i="1"/>
  <c r="AC22" i="1"/>
  <c r="AB22" i="1"/>
  <c r="L23" i="1"/>
  <c r="AC23" i="1"/>
  <c r="AB23" i="1"/>
  <c r="C25" i="1"/>
  <c r="T25" i="1"/>
  <c r="AF25" i="1"/>
  <c r="T27" i="1"/>
  <c r="AF29" i="1"/>
  <c r="K29" i="1"/>
  <c r="G36" i="1"/>
  <c r="I36" i="1" s="1"/>
  <c r="AM31" i="1"/>
  <c r="AO31" i="1" s="1"/>
  <c r="H34" i="1"/>
  <c r="T35" i="1"/>
  <c r="F36" i="1"/>
  <c r="F49" i="1" s="1"/>
  <c r="U40" i="1"/>
  <c r="T40" i="1"/>
  <c r="AF40" i="1"/>
  <c r="C19" i="1"/>
  <c r="AE19" i="1"/>
  <c r="G25" i="1"/>
  <c r="I25" i="1" s="1"/>
  <c r="I21" i="1"/>
  <c r="W25" i="1"/>
  <c r="Y25" i="1" s="1"/>
  <c r="AO26" i="1"/>
  <c r="AN26" i="1"/>
  <c r="AG27" i="1"/>
  <c r="AF27" i="1"/>
  <c r="U28" i="1"/>
  <c r="T28" i="1"/>
  <c r="I31" i="1"/>
  <c r="V36" i="1"/>
  <c r="X31" i="1"/>
  <c r="AK31" i="1"/>
  <c r="AJ31" i="1"/>
  <c r="U32" i="1"/>
  <c r="T32" i="1"/>
  <c r="AM34" i="1"/>
  <c r="AO34" i="1" s="1"/>
  <c r="AM38" i="1"/>
  <c r="AO38" i="1" s="1"/>
  <c r="AI40" i="1"/>
  <c r="AK40" i="1" s="1"/>
  <c r="AK38" i="1"/>
  <c r="AJ38" i="1"/>
  <c r="H39" i="1"/>
  <c r="I39" i="1"/>
  <c r="G15" i="1"/>
  <c r="I15" i="1" s="1"/>
  <c r="I13" i="1"/>
  <c r="AH11" i="1"/>
  <c r="AK11" i="1" s="1"/>
  <c r="D10" i="1"/>
  <c r="J49" i="1"/>
  <c r="AC13" i="1"/>
  <c r="AL13" i="1"/>
  <c r="AN13" i="1" s="1"/>
  <c r="D17" i="1"/>
  <c r="B19" i="1"/>
  <c r="D18" i="1"/>
  <c r="T18" i="1"/>
  <c r="AF18" i="1"/>
  <c r="W19" i="1"/>
  <c r="H21" i="1"/>
  <c r="X21" i="1"/>
  <c r="H22" i="1"/>
  <c r="AF22" i="1"/>
  <c r="AM23" i="1"/>
  <c r="P23" i="1"/>
  <c r="AF23" i="1"/>
  <c r="AM24" i="1"/>
  <c r="AO24" i="1" s="1"/>
  <c r="D24" i="1"/>
  <c r="AL29" i="1"/>
  <c r="L27" i="1"/>
  <c r="X29" i="1"/>
  <c r="I34" i="1"/>
  <c r="AK34" i="1"/>
  <c r="AJ34" i="1"/>
  <c r="AI36" i="1"/>
  <c r="AK36" i="1" s="1"/>
  <c r="AM39" i="1"/>
  <c r="E39" i="1"/>
  <c r="AM46" i="1"/>
  <c r="AO46" i="1" s="1"/>
  <c r="E46" i="1"/>
  <c r="D46" i="1"/>
  <c r="I24" i="1"/>
  <c r="H24" i="1"/>
  <c r="M9" i="1"/>
  <c r="AE15" i="1"/>
  <c r="L14" i="1"/>
  <c r="O19" i="1"/>
  <c r="Y21" i="1"/>
  <c r="E24" i="1"/>
  <c r="X25" i="1"/>
  <c r="AI25" i="1"/>
  <c r="AK25" i="1" s="1"/>
  <c r="Y27" i="1"/>
  <c r="X27" i="1"/>
  <c r="I28" i="1"/>
  <c r="AM28" i="1"/>
  <c r="AO28" i="1" s="1"/>
  <c r="O29" i="1"/>
  <c r="Q29" i="1" s="1"/>
  <c r="AE29" i="1"/>
  <c r="AG29" i="1" s="1"/>
  <c r="Y31" i="1"/>
  <c r="M32" i="1"/>
  <c r="K36" i="1"/>
  <c r="M36" i="1" s="1"/>
  <c r="L32" i="1"/>
  <c r="AL32" i="1"/>
  <c r="AN32" i="1" s="1"/>
  <c r="AJ32" i="1"/>
  <c r="AL33" i="1"/>
  <c r="AN33" i="1" s="1"/>
  <c r="Y35" i="1"/>
  <c r="D39" i="1"/>
  <c r="AD49" i="1"/>
  <c r="AL27" i="1"/>
  <c r="AN27" i="1" s="1"/>
  <c r="M35" i="1"/>
  <c r="R36" i="1"/>
  <c r="T36" i="1" s="1"/>
  <c r="AA36" i="1"/>
  <c r="AC36" i="1" s="1"/>
  <c r="AH40" i="1"/>
  <c r="AJ40" i="1" s="1"/>
  <c r="AL38" i="1"/>
  <c r="C40" i="1"/>
  <c r="AG54" i="1"/>
  <c r="AF54" i="1"/>
  <c r="AE55" i="1"/>
  <c r="AL57" i="1"/>
  <c r="T80" i="1"/>
  <c r="AF67" i="1"/>
  <c r="AD80" i="1"/>
  <c r="AF80" i="1" s="1"/>
  <c r="I84" i="1"/>
  <c r="H84" i="1"/>
  <c r="Y84" i="1"/>
  <c r="X84" i="1"/>
  <c r="AL84" i="1"/>
  <c r="AN84" i="1" s="1"/>
  <c r="AG85" i="1"/>
  <c r="AF85" i="1"/>
  <c r="F48" i="1"/>
  <c r="H44" i="1"/>
  <c r="AK44" i="1"/>
  <c r="AJ44" i="1"/>
  <c r="AG45" i="1"/>
  <c r="AF45" i="1"/>
  <c r="AG46" i="1"/>
  <c r="AF46" i="1"/>
  <c r="O55" i="1"/>
  <c r="AM55" i="1" s="1"/>
  <c r="AO55" i="1" s="1"/>
  <c r="Q54" i="1"/>
  <c r="P54" i="1"/>
  <c r="AK55" i="1"/>
  <c r="I57" i="1"/>
  <c r="Y57" i="1"/>
  <c r="F58" i="1"/>
  <c r="AM60" i="1"/>
  <c r="K65" i="1"/>
  <c r="M65" i="1" s="1"/>
  <c r="M60" i="1"/>
  <c r="L60" i="1"/>
  <c r="P65" i="1"/>
  <c r="AG80" i="1"/>
  <c r="Y68" i="1"/>
  <c r="X68" i="1"/>
  <c r="AL69" i="1"/>
  <c r="AN69" i="1" s="1"/>
  <c r="D69" i="1"/>
  <c r="L76" i="1"/>
  <c r="AL76" i="1"/>
  <c r="U79" i="1"/>
  <c r="T79" i="1"/>
  <c r="AM79" i="1"/>
  <c r="AO79" i="1" s="1"/>
  <c r="AK79" i="1"/>
  <c r="AJ79" i="1"/>
  <c r="M83" i="1"/>
  <c r="L83" i="1"/>
  <c r="B36" i="1"/>
  <c r="O40" i="1"/>
  <c r="Q40" i="1" s="1"/>
  <c r="C48" i="1"/>
  <c r="Q45" i="1"/>
  <c r="P45" i="1"/>
  <c r="E55" i="1"/>
  <c r="T65" i="1"/>
  <c r="AN68" i="1"/>
  <c r="L28" i="1"/>
  <c r="AF28" i="1"/>
  <c r="AB31" i="1"/>
  <c r="AB34" i="1"/>
  <c r="D38" i="1"/>
  <c r="P38" i="1"/>
  <c r="AJ39" i="1"/>
  <c r="X44" i="1"/>
  <c r="AM45" i="1"/>
  <c r="E45" i="1"/>
  <c r="AJ45" i="1"/>
  <c r="AL47" i="1"/>
  <c r="AN47" i="1" s="1"/>
  <c r="P47" i="1"/>
  <c r="Z55" i="1"/>
  <c r="AL55" i="1" s="1"/>
  <c r="AN55" i="1" s="1"/>
  <c r="AB53" i="1"/>
  <c r="AL53" i="1"/>
  <c r="AN53" i="1" s="1"/>
  <c r="E65" i="1"/>
  <c r="AG61" i="1"/>
  <c r="AF61" i="1"/>
  <c r="AO62" i="1"/>
  <c r="U63" i="1"/>
  <c r="T63" i="1"/>
  <c r="X65" i="1"/>
  <c r="AI80" i="1"/>
  <c r="AK80" i="1" s="1"/>
  <c r="I74" i="1"/>
  <c r="H74" i="1"/>
  <c r="D31" i="1"/>
  <c r="L31" i="1"/>
  <c r="T31" i="1"/>
  <c r="AL31" i="1"/>
  <c r="AN31" i="1" s="1"/>
  <c r="D34" i="1"/>
  <c r="L34" i="1"/>
  <c r="T34" i="1"/>
  <c r="AL34" i="1"/>
  <c r="P35" i="1"/>
  <c r="E38" i="1"/>
  <c r="Q38" i="1"/>
  <c r="X39" i="1"/>
  <c r="N48" i="1"/>
  <c r="P42" i="1"/>
  <c r="D45" i="1"/>
  <c r="AJ48" i="1"/>
  <c r="I55" i="1"/>
  <c r="Y55" i="1"/>
  <c r="AD58" i="1"/>
  <c r="AB65" i="1"/>
  <c r="AG69" i="1"/>
  <c r="AF69" i="1"/>
  <c r="AN71" i="1"/>
  <c r="AL75" i="1"/>
  <c r="AN75" i="1" s="1"/>
  <c r="X75" i="1"/>
  <c r="AJ78" i="1"/>
  <c r="AK78" i="1"/>
  <c r="G40" i="1"/>
  <c r="I40" i="1" s="1"/>
  <c r="AB38" i="1"/>
  <c r="D42" i="1"/>
  <c r="B48" i="1"/>
  <c r="B49" i="1" s="1"/>
  <c r="AL42" i="1"/>
  <c r="AN42" i="1" s="1"/>
  <c r="G48" i="1"/>
  <c r="I48" i="1" s="1"/>
  <c r="I43" i="1"/>
  <c r="AM43" i="1"/>
  <c r="AO43" i="1" s="1"/>
  <c r="H43" i="1"/>
  <c r="W48" i="1"/>
  <c r="Y43" i="1"/>
  <c r="X43" i="1"/>
  <c r="S65" i="1"/>
  <c r="U65" i="1" s="1"/>
  <c r="AG60" i="1"/>
  <c r="AF60" i="1"/>
  <c r="AL64" i="1"/>
  <c r="AN64" i="1" s="1"/>
  <c r="AE65" i="1"/>
  <c r="Y80" i="1"/>
  <c r="AM68" i="1"/>
  <c r="AO68" i="1" s="1"/>
  <c r="AO78" i="1"/>
  <c r="I94" i="1"/>
  <c r="H94" i="1"/>
  <c r="AM95" i="1"/>
  <c r="AO95" i="1" s="1"/>
  <c r="E95" i="1"/>
  <c r="D95" i="1"/>
  <c r="AA48" i="1"/>
  <c r="AC43" i="1"/>
  <c r="D44" i="1"/>
  <c r="AL44" i="1"/>
  <c r="AN44" i="1" s="1"/>
  <c r="O48" i="1"/>
  <c r="Q48" i="1" s="1"/>
  <c r="Q44" i="1"/>
  <c r="P44" i="1"/>
  <c r="AB46" i="1"/>
  <c r="Z48" i="1"/>
  <c r="AB48" i="1" s="1"/>
  <c r="C80" i="1"/>
  <c r="E67" i="1"/>
  <c r="D67" i="1"/>
  <c r="AB80" i="1"/>
  <c r="Q77" i="1"/>
  <c r="P77" i="1"/>
  <c r="E54" i="1"/>
  <c r="AK54" i="1"/>
  <c r="AM57" i="1"/>
  <c r="AO57" i="1" s="1"/>
  <c r="G58" i="1"/>
  <c r="I58" i="1" s="1"/>
  <c r="O58" i="1"/>
  <c r="Q58" i="1" s="1"/>
  <c r="W58" i="1"/>
  <c r="Y58" i="1" s="1"/>
  <c r="AE58" i="1"/>
  <c r="AG58" i="1" s="1"/>
  <c r="U60" i="1"/>
  <c r="AL63" i="1"/>
  <c r="AM64" i="1"/>
  <c r="G65" i="1"/>
  <c r="I65" i="1" s="1"/>
  <c r="O65" i="1"/>
  <c r="Q65" i="1" s="1"/>
  <c r="X67" i="1"/>
  <c r="V80" i="1"/>
  <c r="X80" i="1" s="1"/>
  <c r="AM73" i="1"/>
  <c r="AO73" i="1" s="1"/>
  <c r="U77" i="1"/>
  <c r="T77" i="1"/>
  <c r="Y79" i="1"/>
  <c r="X79" i="1"/>
  <c r="AM85" i="1"/>
  <c r="AO85" i="1" s="1"/>
  <c r="E85" i="1"/>
  <c r="D85" i="1"/>
  <c r="AM96" i="1"/>
  <c r="AO96" i="1" s="1"/>
  <c r="E96" i="1"/>
  <c r="D96" i="1"/>
  <c r="AM100" i="1"/>
  <c r="E100" i="1"/>
  <c r="D100" i="1"/>
  <c r="AB45" i="1"/>
  <c r="X46" i="1"/>
  <c r="AB54" i="1"/>
  <c r="AM63" i="1"/>
  <c r="AO63" i="1" s="1"/>
  <c r="P67" i="1"/>
  <c r="N80" i="1"/>
  <c r="P80" i="1" s="1"/>
  <c r="AG67" i="1"/>
  <c r="X69" i="1"/>
  <c r="M70" i="1"/>
  <c r="T71" i="1"/>
  <c r="AJ73" i="1"/>
  <c r="AJ74" i="1"/>
  <c r="Z97" i="1"/>
  <c r="AB84" i="1"/>
  <c r="AN92" i="1"/>
  <c r="Q101" i="1"/>
  <c r="O104" i="1"/>
  <c r="U43" i="1"/>
  <c r="AF43" i="1"/>
  <c r="K48" i="1"/>
  <c r="M48" i="1" s="1"/>
  <c r="H54" i="1"/>
  <c r="AM54" i="1"/>
  <c r="H67" i="1"/>
  <c r="F80" i="1"/>
  <c r="H80" i="1" s="1"/>
  <c r="Y67" i="1"/>
  <c r="AH80" i="1"/>
  <c r="D68" i="1"/>
  <c r="E69" i="1"/>
  <c r="H71" i="1"/>
  <c r="AB76" i="1"/>
  <c r="AJ77" i="1"/>
  <c r="AL78" i="1"/>
  <c r="AN78" i="1" s="1"/>
  <c r="G97" i="1"/>
  <c r="I97" i="1" s="1"/>
  <c r="R97" i="1"/>
  <c r="Q83" i="1"/>
  <c r="M84" i="1"/>
  <c r="AC84" i="1"/>
  <c r="AL91" i="1"/>
  <c r="AN91" i="1" s="1"/>
  <c r="H91" i="1"/>
  <c r="U93" i="1"/>
  <c r="T93" i="1"/>
  <c r="E110" i="1"/>
  <c r="D110" i="1"/>
  <c r="B58" i="1"/>
  <c r="J58" i="1"/>
  <c r="L58" i="1" s="1"/>
  <c r="R58" i="1"/>
  <c r="T58" i="1" s="1"/>
  <c r="Z58" i="1"/>
  <c r="AB58" i="1" s="1"/>
  <c r="AH58" i="1"/>
  <c r="AJ58" i="1" s="1"/>
  <c r="AL65" i="1"/>
  <c r="AM70" i="1"/>
  <c r="AO70" i="1" s="1"/>
  <c r="AL73" i="1"/>
  <c r="AN74" i="1"/>
  <c r="AN77" i="1"/>
  <c r="AL79" i="1"/>
  <c r="D79" i="1"/>
  <c r="U83" i="1"/>
  <c r="T83" i="1"/>
  <c r="Q84" i="1"/>
  <c r="P84" i="1"/>
  <c r="AG84" i="1"/>
  <c r="AF84" i="1"/>
  <c r="AC109" i="1"/>
  <c r="AB109" i="1"/>
  <c r="AA119" i="1"/>
  <c r="AO111" i="1"/>
  <c r="AN111" i="1"/>
  <c r="AN117" i="1"/>
  <c r="AO117" i="1"/>
  <c r="M118" i="1"/>
  <c r="L118" i="1"/>
  <c r="AC118" i="1"/>
  <c r="AB118" i="1"/>
  <c r="P61" i="1"/>
  <c r="I67" i="1"/>
  <c r="AJ67" i="1"/>
  <c r="AB68" i="1"/>
  <c r="AK69" i="1"/>
  <c r="AB70" i="1"/>
  <c r="M71" i="1"/>
  <c r="L71" i="1"/>
  <c r="AL72" i="1"/>
  <c r="AN72" i="1" s="1"/>
  <c r="H73" i="1"/>
  <c r="P74" i="1"/>
  <c r="AM77" i="1"/>
  <c r="AO77" i="1" s="1"/>
  <c r="AF79" i="1"/>
  <c r="J97" i="1"/>
  <c r="AE97" i="1"/>
  <c r="M85" i="1"/>
  <c r="L85" i="1"/>
  <c r="AL88" i="1"/>
  <c r="AN88" i="1" s="1"/>
  <c r="D88" i="1"/>
  <c r="AF99" i="1"/>
  <c r="AD104" i="1"/>
  <c r="AF104" i="1" s="1"/>
  <c r="AG99" i="1"/>
  <c r="P115" i="1"/>
  <c r="AL115" i="1"/>
  <c r="D57" i="1"/>
  <c r="L57" i="1"/>
  <c r="T57" i="1"/>
  <c r="AB57" i="1"/>
  <c r="AJ57" i="1"/>
  <c r="AD65" i="1"/>
  <c r="AF65" i="1" s="1"/>
  <c r="D65" i="1"/>
  <c r="J80" i="1"/>
  <c r="L80" i="1" s="1"/>
  <c r="AB67" i="1"/>
  <c r="AK67" i="1"/>
  <c r="I69" i="1"/>
  <c r="Q78" i="1"/>
  <c r="P78" i="1"/>
  <c r="E79" i="1"/>
  <c r="AL83" i="1"/>
  <c r="AN83" i="1" s="1"/>
  <c r="H83" i="1"/>
  <c r="Y83" i="1"/>
  <c r="X83" i="1"/>
  <c r="AO88" i="1"/>
  <c r="AL89" i="1"/>
  <c r="AN89" i="1" s="1"/>
  <c r="P89" i="1"/>
  <c r="Q95" i="1"/>
  <c r="P95" i="1"/>
  <c r="AO102" i="1"/>
  <c r="AN102" i="1"/>
  <c r="AM113" i="1"/>
  <c r="AO113" i="1" s="1"/>
  <c r="H113" i="1"/>
  <c r="I113" i="1"/>
  <c r="B80" i="1"/>
  <c r="AC67" i="1"/>
  <c r="AL67" i="1"/>
  <c r="AN67" i="1" s="1"/>
  <c r="U74" i="1"/>
  <c r="T74" i="1"/>
  <c r="AJ76" i="1"/>
  <c r="U78" i="1"/>
  <c r="T78" i="1"/>
  <c r="D97" i="1"/>
  <c r="W97" i="1"/>
  <c r="W146" i="1" s="1"/>
  <c r="AH97" i="1"/>
  <c r="AH146" i="1" s="1"/>
  <c r="AM83" i="1"/>
  <c r="AO84" i="1"/>
  <c r="U84" i="1"/>
  <c r="AK84" i="1"/>
  <c r="M92" i="1"/>
  <c r="L92" i="1"/>
  <c r="M93" i="1"/>
  <c r="L93" i="1"/>
  <c r="U99" i="1"/>
  <c r="S104" i="1"/>
  <c r="T99" i="1"/>
  <c r="F97" i="1"/>
  <c r="N97" i="1"/>
  <c r="P97" i="1" s="1"/>
  <c r="V97" i="1"/>
  <c r="X97" i="1" s="1"/>
  <c r="AD97" i="1"/>
  <c r="AF97" i="1" s="1"/>
  <c r="AL82" i="1"/>
  <c r="AL90" i="1"/>
  <c r="AN90" i="1" s="1"/>
  <c r="AL93" i="1"/>
  <c r="T94" i="1"/>
  <c r="U94" i="1"/>
  <c r="L104" i="1"/>
  <c r="AL101" i="1"/>
  <c r="AO103" i="1"/>
  <c r="V104" i="1"/>
  <c r="X104" i="1" s="1"/>
  <c r="T107" i="1"/>
  <c r="AJ107" i="1"/>
  <c r="AM109" i="1"/>
  <c r="C119" i="1"/>
  <c r="AG119" i="1"/>
  <c r="Q115" i="1"/>
  <c r="AG115" i="1"/>
  <c r="L116" i="1"/>
  <c r="AL116" i="1"/>
  <c r="AN116" i="1" s="1"/>
  <c r="AK117" i="1"/>
  <c r="AJ117" i="1"/>
  <c r="Y124" i="1"/>
  <c r="X124" i="1"/>
  <c r="AM82" i="1"/>
  <c r="AO82" i="1" s="1"/>
  <c r="D84" i="1"/>
  <c r="X92" i="1"/>
  <c r="D93" i="1"/>
  <c r="AM93" i="1"/>
  <c r="AO93" i="1" s="1"/>
  <c r="T95" i="1"/>
  <c r="U95" i="1"/>
  <c r="AB96" i="1"/>
  <c r="AC96" i="1"/>
  <c r="M99" i="1"/>
  <c r="K104" i="1"/>
  <c r="M104" i="1" s="1"/>
  <c r="I101" i="1"/>
  <c r="AM101" i="1"/>
  <c r="AO101" i="1" s="1"/>
  <c r="Y104" i="1"/>
  <c r="D109" i="1"/>
  <c r="Q109" i="1"/>
  <c r="O119" i="1"/>
  <c r="Q110" i="1"/>
  <c r="P110" i="1"/>
  <c r="L111" i="1"/>
  <c r="AN113" i="1"/>
  <c r="N145" i="1"/>
  <c r="P127" i="1"/>
  <c r="Q127" i="1"/>
  <c r="AL135" i="1"/>
  <c r="H135" i="1"/>
  <c r="H78" i="1"/>
  <c r="H82" i="1"/>
  <c r="P82" i="1"/>
  <c r="X82" i="1"/>
  <c r="AF82" i="1"/>
  <c r="I83" i="1"/>
  <c r="E84" i="1"/>
  <c r="AJ86" i="1"/>
  <c r="E88" i="1"/>
  <c r="I91" i="1"/>
  <c r="D92" i="1"/>
  <c r="D104" i="1"/>
  <c r="L99" i="1"/>
  <c r="AL100" i="1"/>
  <c r="AN100" i="1" s="1"/>
  <c r="AF101" i="1"/>
  <c r="T103" i="1"/>
  <c r="F104" i="1"/>
  <c r="F146" i="1" s="1"/>
  <c r="Y106" i="1"/>
  <c r="X106" i="1"/>
  <c r="W107" i="1"/>
  <c r="AM107" i="1" s="1"/>
  <c r="AO107" i="1" s="1"/>
  <c r="E109" i="1"/>
  <c r="P109" i="1"/>
  <c r="AB112" i="1"/>
  <c r="AN112" i="1"/>
  <c r="AA125" i="1"/>
  <c r="AC125" i="1" s="1"/>
  <c r="AC121" i="1"/>
  <c r="M142" i="1"/>
  <c r="L142" i="1"/>
  <c r="AM94" i="1"/>
  <c r="AO94" i="1" s="1"/>
  <c r="AM99" i="1"/>
  <c r="E99" i="1"/>
  <c r="C104" i="1"/>
  <c r="AK99" i="1"/>
  <c r="AI104" i="1"/>
  <c r="AK104" i="1" s="1"/>
  <c r="H100" i="1"/>
  <c r="I100" i="1"/>
  <c r="AG102" i="1"/>
  <c r="AF102" i="1"/>
  <c r="G104" i="1"/>
  <c r="I104" i="1" s="1"/>
  <c r="AC112" i="1"/>
  <c r="AC113" i="1"/>
  <c r="AB113" i="1"/>
  <c r="L117" i="1"/>
  <c r="M117" i="1"/>
  <c r="AM118" i="1"/>
  <c r="E118" i="1"/>
  <c r="D118" i="1"/>
  <c r="U118" i="1"/>
  <c r="T118" i="1"/>
  <c r="AK118" i="1"/>
  <c r="AJ118" i="1"/>
  <c r="P121" i="1"/>
  <c r="N125" i="1"/>
  <c r="W125" i="1"/>
  <c r="AG141" i="1"/>
  <c r="AF141" i="1"/>
  <c r="AM76" i="1"/>
  <c r="AO76" i="1" s="1"/>
  <c r="H85" i="1"/>
  <c r="L91" i="1"/>
  <c r="AB92" i="1"/>
  <c r="D94" i="1"/>
  <c r="AN95" i="1"/>
  <c r="D99" i="1"/>
  <c r="AJ99" i="1"/>
  <c r="AF100" i="1"/>
  <c r="X101" i="1"/>
  <c r="AE104" i="1"/>
  <c r="AN105" i="1"/>
  <c r="K107" i="1"/>
  <c r="M107" i="1" s="1"/>
  <c r="M106" i="1"/>
  <c r="AM106" i="1"/>
  <c r="AB107" i="1"/>
  <c r="AK109" i="1"/>
  <c r="AF111" i="1"/>
  <c r="Y115" i="1"/>
  <c r="D121" i="1"/>
  <c r="B125" i="1"/>
  <c r="B146" i="1" s="1"/>
  <c r="E121" i="1"/>
  <c r="AL121" i="1"/>
  <c r="AN121" i="1" s="1"/>
  <c r="M122" i="1"/>
  <c r="K125" i="1"/>
  <c r="M125" i="1" s="1"/>
  <c r="L122" i="1"/>
  <c r="U139" i="1"/>
  <c r="T139" i="1"/>
  <c r="AM139" i="1"/>
  <c r="AO139" i="1" s="1"/>
  <c r="C97" i="1"/>
  <c r="K97" i="1"/>
  <c r="M97" i="1" s="1"/>
  <c r="S97" i="1"/>
  <c r="U97" i="1" s="1"/>
  <c r="AA97" i="1"/>
  <c r="AC97" i="1" s="1"/>
  <c r="AI97" i="1"/>
  <c r="AK97" i="1" s="1"/>
  <c r="E94" i="1"/>
  <c r="Q99" i="1"/>
  <c r="AC99" i="1"/>
  <c r="AA104" i="1"/>
  <c r="AC104" i="1" s="1"/>
  <c r="AL99" i="1"/>
  <c r="AN99" i="1" s="1"/>
  <c r="M103" i="1"/>
  <c r="L103" i="1"/>
  <c r="N104" i="1"/>
  <c r="P104" i="1" s="1"/>
  <c r="G119" i="1"/>
  <c r="I119" i="1" s="1"/>
  <c r="U112" i="1"/>
  <c r="T112" i="1"/>
  <c r="S119" i="1"/>
  <c r="U119" i="1" s="1"/>
  <c r="E125" i="1"/>
  <c r="D82" i="1"/>
  <c r="L82" i="1"/>
  <c r="T82" i="1"/>
  <c r="AB82" i="1"/>
  <c r="AJ82" i="1"/>
  <c r="AB94" i="1"/>
  <c r="AC95" i="1"/>
  <c r="AL96" i="1"/>
  <c r="AN96" i="1" s="1"/>
  <c r="R104" i="1"/>
  <c r="T104" i="1" s="1"/>
  <c r="AB99" i="1"/>
  <c r="P101" i="1"/>
  <c r="T102" i="1"/>
  <c r="E107" i="1"/>
  <c r="AF106" i="1"/>
  <c r="D107" i="1"/>
  <c r="AL107" i="1"/>
  <c r="K119" i="1"/>
  <c r="Y111" i="1"/>
  <c r="X111" i="1"/>
  <c r="H112" i="1"/>
  <c r="AK124" i="1"/>
  <c r="AJ124" i="1"/>
  <c r="AN128" i="1"/>
  <c r="Q133" i="1"/>
  <c r="P133" i="1"/>
  <c r="Q100" i="1"/>
  <c r="Y102" i="1"/>
  <c r="E103" i="1"/>
  <c r="Q106" i="1"/>
  <c r="AB106" i="1"/>
  <c r="U109" i="1"/>
  <c r="AF109" i="1"/>
  <c r="J119" i="1"/>
  <c r="L119" i="1" s="1"/>
  <c r="AC110" i="1"/>
  <c r="AK110" i="1"/>
  <c r="Q111" i="1"/>
  <c r="AK111" i="1"/>
  <c r="E112" i="1"/>
  <c r="M112" i="1"/>
  <c r="Y113" i="1"/>
  <c r="T115" i="1"/>
  <c r="AB115" i="1"/>
  <c r="AJ115" i="1"/>
  <c r="I118" i="1"/>
  <c r="Q118" i="1"/>
  <c r="Y118" i="1"/>
  <c r="AG118" i="1"/>
  <c r="AN120" i="1"/>
  <c r="H122" i="1"/>
  <c r="AD145" i="1"/>
  <c r="AF127" i="1"/>
  <c r="I129" i="1"/>
  <c r="Y129" i="1"/>
  <c r="X129" i="1"/>
  <c r="M131" i="1"/>
  <c r="L131" i="1"/>
  <c r="Y134" i="1"/>
  <c r="X134" i="1"/>
  <c r="AM134" i="1"/>
  <c r="AO134" i="1" s="1"/>
  <c r="AM140" i="1"/>
  <c r="AO140" i="1" s="1"/>
  <c r="I140" i="1"/>
  <c r="H140" i="1"/>
  <c r="AL119" i="1"/>
  <c r="AD119" i="1"/>
  <c r="AF119" i="1" s="1"/>
  <c r="AL110" i="1"/>
  <c r="AN110" i="1" s="1"/>
  <c r="F119" i="1"/>
  <c r="D119" i="1"/>
  <c r="AB121" i="1"/>
  <c r="AM121" i="1"/>
  <c r="AL123" i="1"/>
  <c r="AN123" i="1" s="1"/>
  <c r="D123" i="1"/>
  <c r="G125" i="1"/>
  <c r="AM125" i="1" s="1"/>
  <c r="V145" i="1"/>
  <c r="X145" i="1" s="1"/>
  <c r="X127" i="1"/>
  <c r="AE145" i="1"/>
  <c r="AG145" i="1" s="1"/>
  <c r="AJ128" i="1"/>
  <c r="AK128" i="1"/>
  <c r="L129" i="1"/>
  <c r="AN131" i="1"/>
  <c r="E135" i="1"/>
  <c r="D135" i="1"/>
  <c r="AM135" i="1"/>
  <c r="AO135" i="1" s="1"/>
  <c r="D139" i="1"/>
  <c r="AL139" i="1"/>
  <c r="N119" i="1"/>
  <c r="P119" i="1" s="1"/>
  <c r="V119" i="1"/>
  <c r="X119" i="1" s="1"/>
  <c r="AL114" i="1"/>
  <c r="AN114" i="1" s="1"/>
  <c r="AM115" i="1"/>
  <c r="AO115" i="1" s="1"/>
  <c r="Q121" i="1"/>
  <c r="Y122" i="1"/>
  <c r="AO123" i="1"/>
  <c r="F145" i="1"/>
  <c r="H145" i="1" s="1"/>
  <c r="H127" i="1"/>
  <c r="O145" i="1"/>
  <c r="Q145" i="1" s="1"/>
  <c r="AL129" i="1"/>
  <c r="AN129" i="1" s="1"/>
  <c r="T135" i="1"/>
  <c r="U135" i="1"/>
  <c r="Y138" i="1"/>
  <c r="X138" i="1"/>
  <c r="AM114" i="1"/>
  <c r="AF121" i="1"/>
  <c r="AD125" i="1"/>
  <c r="AF125" i="1" s="1"/>
  <c r="AM122" i="1"/>
  <c r="AO122" i="1" s="1"/>
  <c r="E122" i="1"/>
  <c r="I145" i="1"/>
  <c r="AB145" i="1"/>
  <c r="AK145" i="1"/>
  <c r="AO132" i="1"/>
  <c r="X132" i="1"/>
  <c r="Y132" i="1"/>
  <c r="D133" i="1"/>
  <c r="E133" i="1"/>
  <c r="U133" i="1"/>
  <c r="Y135" i="1"/>
  <c r="X135" i="1"/>
  <c r="M137" i="1"/>
  <c r="L137" i="1"/>
  <c r="AN138" i="1"/>
  <c r="AC138" i="1"/>
  <c r="AB138" i="1"/>
  <c r="AN140" i="1"/>
  <c r="AH119" i="1"/>
  <c r="P114" i="1"/>
  <c r="X114" i="1"/>
  <c r="D117" i="1"/>
  <c r="P117" i="1"/>
  <c r="H121" i="1"/>
  <c r="F125" i="1"/>
  <c r="H125" i="1" s="1"/>
  <c r="AG121" i="1"/>
  <c r="D122" i="1"/>
  <c r="Q122" i="1"/>
  <c r="AK122" i="1"/>
  <c r="D124" i="1"/>
  <c r="P124" i="1"/>
  <c r="AM124" i="1"/>
  <c r="O125" i="1"/>
  <c r="Q125" i="1" s="1"/>
  <c r="AE125" i="1"/>
  <c r="I127" i="1"/>
  <c r="R145" i="1"/>
  <c r="AA145" i="1"/>
  <c r="AC145" i="1" s="1"/>
  <c r="AM129" i="1"/>
  <c r="E129" i="1"/>
  <c r="AL130" i="1"/>
  <c r="AC132" i="1"/>
  <c r="AB132" i="1"/>
  <c r="I133" i="1"/>
  <c r="H133" i="1"/>
  <c r="AK135" i="1"/>
  <c r="AM141" i="1"/>
  <c r="AO141" i="1" s="1"/>
  <c r="AG142" i="1"/>
  <c r="AF142" i="1"/>
  <c r="E117" i="1"/>
  <c r="U121" i="1"/>
  <c r="H123" i="1"/>
  <c r="AB123" i="1"/>
  <c r="AC123" i="1"/>
  <c r="R125" i="1"/>
  <c r="T125" i="1" s="1"/>
  <c r="AH125" i="1"/>
  <c r="AJ125" i="1" s="1"/>
  <c r="S145" i="1"/>
  <c r="U145" i="1" s="1"/>
  <c r="AB130" i="1"/>
  <c r="AC130" i="1"/>
  <c r="AC135" i="1"/>
  <c r="E137" i="1"/>
  <c r="D137" i="1"/>
  <c r="AM137" i="1"/>
  <c r="M139" i="1"/>
  <c r="L139" i="1"/>
  <c r="AM142" i="1"/>
  <c r="AO142" i="1" s="1"/>
  <c r="Z119" i="1"/>
  <c r="AB119" i="1" s="1"/>
  <c r="L121" i="1"/>
  <c r="X121" i="1"/>
  <c r="V125" i="1"/>
  <c r="X125" i="1" s="1"/>
  <c r="AJ121" i="1"/>
  <c r="I122" i="1"/>
  <c r="AG123" i="1"/>
  <c r="AF123" i="1"/>
  <c r="AI125" i="1"/>
  <c r="B145" i="1"/>
  <c r="K145" i="1"/>
  <c r="M145" i="1" s="1"/>
  <c r="AL127" i="1"/>
  <c r="AN127" i="1" s="1"/>
  <c r="P130" i="1"/>
  <c r="AG130" i="1"/>
  <c r="AF130" i="1"/>
  <c r="H131" i="1"/>
  <c r="I131" i="1"/>
  <c r="AG132" i="1"/>
  <c r="M133" i="1"/>
  <c r="AM133" i="1"/>
  <c r="AO133" i="1" s="1"/>
  <c r="I134" i="1"/>
  <c r="T134" i="1"/>
  <c r="U134" i="1"/>
  <c r="AG137" i="1"/>
  <c r="AF137" i="1"/>
  <c r="AM130" i="1"/>
  <c r="AO130" i="1" s="1"/>
  <c r="D138" i="1"/>
  <c r="U138" i="1"/>
  <c r="AC141" i="1"/>
  <c r="I142" i="1"/>
  <c r="AC142" i="1"/>
  <c r="H143" i="1"/>
  <c r="Q143" i="1"/>
  <c r="AL143" i="1"/>
  <c r="AN143" i="1" s="1"/>
  <c r="AM143" i="1"/>
  <c r="C145" i="1"/>
  <c r="AM128" i="1"/>
  <c r="AO128" i="1" s="1"/>
  <c r="T143" i="1"/>
  <c r="AL144" i="1"/>
  <c r="AN144" i="1" s="1"/>
  <c r="AM138" i="1"/>
  <c r="AO138" i="1" s="1"/>
  <c r="F50" i="1" l="1"/>
  <c r="B50" i="1"/>
  <c r="Y146" i="1"/>
  <c r="M49" i="1"/>
  <c r="K50" i="1"/>
  <c r="AO143" i="1"/>
  <c r="AO129" i="1"/>
  <c r="AG104" i="1"/>
  <c r="P125" i="1"/>
  <c r="AO118" i="1"/>
  <c r="AN118" i="1"/>
  <c r="AO99" i="1"/>
  <c r="T119" i="1"/>
  <c r="AM119" i="1"/>
  <c r="AO119" i="1" s="1"/>
  <c r="E119" i="1"/>
  <c r="H97" i="1"/>
  <c r="AL97" i="1"/>
  <c r="AL80" i="1"/>
  <c r="D80" i="1"/>
  <c r="D58" i="1"/>
  <c r="AL58" i="1"/>
  <c r="AB97" i="1"/>
  <c r="AN70" i="1"/>
  <c r="M80" i="1"/>
  <c r="AM48" i="1"/>
  <c r="E48" i="1"/>
  <c r="AN38" i="1"/>
  <c r="H65" i="1"/>
  <c r="L48" i="1"/>
  <c r="AL11" i="1"/>
  <c r="AN11" i="1" s="1"/>
  <c r="AG19" i="1"/>
  <c r="AF19" i="1"/>
  <c r="AB15" i="1"/>
  <c r="AC15" i="1"/>
  <c r="AN35" i="1"/>
  <c r="AO27" i="1"/>
  <c r="AO32" i="1"/>
  <c r="AN21" i="1"/>
  <c r="U15" i="1"/>
  <c r="T15" i="1"/>
  <c r="AO13" i="1"/>
  <c r="AM29" i="1"/>
  <c r="AO29" i="1" s="1"/>
  <c r="AL40" i="1"/>
  <c r="Y48" i="1"/>
  <c r="X48" i="1"/>
  <c r="X19" i="1"/>
  <c r="Y19" i="1"/>
  <c r="G49" i="1"/>
  <c r="AO121" i="1"/>
  <c r="AN141" i="1"/>
  <c r="AN135" i="1"/>
  <c r="AN109" i="1"/>
  <c r="AO109" i="1"/>
  <c r="AA146" i="1"/>
  <c r="AC146" i="1" s="1"/>
  <c r="R146" i="1"/>
  <c r="T146" i="1" s="1"/>
  <c r="AN73" i="1"/>
  <c r="AF58" i="1"/>
  <c r="P48" i="1"/>
  <c r="AM65" i="1"/>
  <c r="AO65" i="1" s="1"/>
  <c r="I80" i="1"/>
  <c r="AK58" i="1"/>
  <c r="P40" i="1"/>
  <c r="AN46" i="1"/>
  <c r="E19" i="1"/>
  <c r="AM19" i="1"/>
  <c r="AM25" i="1"/>
  <c r="AO25" i="1" s="1"/>
  <c r="E25" i="1"/>
  <c r="H29" i="1"/>
  <c r="AK19" i="1"/>
  <c r="AJ19" i="1"/>
  <c r="W49" i="1"/>
  <c r="AN107" i="1"/>
  <c r="AM40" i="1"/>
  <c r="AO40" i="1" s="1"/>
  <c r="E40" i="1"/>
  <c r="J50" i="1"/>
  <c r="L49" i="1"/>
  <c r="U19" i="1"/>
  <c r="T19" i="1"/>
  <c r="V49" i="1"/>
  <c r="X11" i="1"/>
  <c r="AL145" i="1"/>
  <c r="D145" i="1"/>
  <c r="AO114" i="1"/>
  <c r="AK125" i="1"/>
  <c r="AN133" i="1"/>
  <c r="T145" i="1"/>
  <c r="AN139" i="1"/>
  <c r="U125" i="1"/>
  <c r="Y119" i="1"/>
  <c r="AJ104" i="1"/>
  <c r="AN93" i="1"/>
  <c r="U104" i="1"/>
  <c r="S146" i="1"/>
  <c r="J146" i="1"/>
  <c r="L146" i="1" s="1"/>
  <c r="T97" i="1"/>
  <c r="AJ80" i="1"/>
  <c r="AD146" i="1"/>
  <c r="Q97" i="1"/>
  <c r="X58" i="1"/>
  <c r="P58" i="1"/>
  <c r="D36" i="1"/>
  <c r="AL36" i="1"/>
  <c r="AN36" i="1" s="1"/>
  <c r="AN76" i="1"/>
  <c r="AI146" i="1"/>
  <c r="AK146" i="1" s="1"/>
  <c r="L65" i="1"/>
  <c r="P19" i="1"/>
  <c r="Q19" i="1"/>
  <c r="U58" i="1"/>
  <c r="AO23" i="1"/>
  <c r="AN23" i="1"/>
  <c r="AO67" i="1"/>
  <c r="M15" i="1"/>
  <c r="L15" i="1"/>
  <c r="P25" i="1"/>
  <c r="Q36" i="1"/>
  <c r="AI49" i="1"/>
  <c r="R49" i="1"/>
  <c r="Q119" i="1"/>
  <c r="K146" i="1"/>
  <c r="AN65" i="1"/>
  <c r="Q104" i="1"/>
  <c r="V146" i="1"/>
  <c r="X146" i="1" s="1"/>
  <c r="AO100" i="1"/>
  <c r="AC58" i="1"/>
  <c r="AN57" i="1"/>
  <c r="AM58" i="1"/>
  <c r="AO58" i="1" s="1"/>
  <c r="AO39" i="1"/>
  <c r="AN39" i="1"/>
  <c r="AN29" i="1"/>
  <c r="AL19" i="1"/>
  <c r="AN19" i="1" s="1"/>
  <c r="D19" i="1"/>
  <c r="AH49" i="1"/>
  <c r="AJ11" i="1"/>
  <c r="M29" i="1"/>
  <c r="L29" i="1"/>
  <c r="Q80" i="1"/>
  <c r="AN22" i="1"/>
  <c r="AO61" i="1"/>
  <c r="AN61" i="1"/>
  <c r="AM15" i="1"/>
  <c r="AO15" i="1" s="1"/>
  <c r="E15" i="1"/>
  <c r="D15" i="1"/>
  <c r="AN17" i="1"/>
  <c r="AM145" i="1"/>
  <c r="AO145" i="1" s="1"/>
  <c r="E145" i="1"/>
  <c r="Y125" i="1"/>
  <c r="AJ119" i="1"/>
  <c r="AK119" i="1"/>
  <c r="Y107" i="1"/>
  <c r="X107" i="1"/>
  <c r="AG125" i="1"/>
  <c r="H119" i="1"/>
  <c r="AF145" i="1"/>
  <c r="AL104" i="1"/>
  <c r="E97" i="1"/>
  <c r="AM97" i="1"/>
  <c r="AO97" i="1" s="1"/>
  <c r="AO106" i="1"/>
  <c r="AN106" i="1"/>
  <c r="AB104" i="1"/>
  <c r="AN142" i="1"/>
  <c r="P145" i="1"/>
  <c r="Y145" i="1"/>
  <c r="AN82" i="1"/>
  <c r="AN94" i="1"/>
  <c r="AO83" i="1"/>
  <c r="AN115" i="1"/>
  <c r="AC119" i="1"/>
  <c r="N146" i="1"/>
  <c r="AO64" i="1"/>
  <c r="E80" i="1"/>
  <c r="AM80" i="1"/>
  <c r="AO80" i="1" s="1"/>
  <c r="AN43" i="1"/>
  <c r="M58" i="1"/>
  <c r="AO45" i="1"/>
  <c r="AN45" i="1"/>
  <c r="AE146" i="1"/>
  <c r="AG146" i="1" s="1"/>
  <c r="AG55" i="1"/>
  <c r="AF55" i="1"/>
  <c r="AG15" i="1"/>
  <c r="AF15" i="1"/>
  <c r="E58" i="1"/>
  <c r="AJ25" i="1"/>
  <c r="AN28" i="1"/>
  <c r="Y40" i="1"/>
  <c r="X40" i="1"/>
  <c r="D25" i="1"/>
  <c r="AE49" i="1"/>
  <c r="AG11" i="1"/>
  <c r="AF11" i="1"/>
  <c r="AO44" i="1"/>
  <c r="D40" i="1"/>
  <c r="H15" i="1"/>
  <c r="X15" i="1"/>
  <c r="AL125" i="1"/>
  <c r="AN125" i="1" s="1"/>
  <c r="D125" i="1"/>
  <c r="AB125" i="1"/>
  <c r="AO127" i="1"/>
  <c r="AJ97" i="1"/>
  <c r="AG97" i="1"/>
  <c r="AN63" i="1"/>
  <c r="AC48" i="1"/>
  <c r="AL48" i="1"/>
  <c r="AN48" i="1" s="1"/>
  <c r="D48" i="1"/>
  <c r="G146" i="1"/>
  <c r="I146" i="1" s="1"/>
  <c r="AN85" i="1"/>
  <c r="C146" i="1"/>
  <c r="AO60" i="1"/>
  <c r="AN60" i="1"/>
  <c r="O146" i="1"/>
  <c r="Q146" i="1" s="1"/>
  <c r="Q55" i="1"/>
  <c r="P55" i="1"/>
  <c r="H48" i="1"/>
  <c r="L36" i="1"/>
  <c r="H25" i="1"/>
  <c r="X36" i="1"/>
  <c r="Y36" i="1"/>
  <c r="M19" i="1"/>
  <c r="L19" i="1"/>
  <c r="P29" i="1"/>
  <c r="AN25" i="1"/>
  <c r="O49" i="1"/>
  <c r="Q11" i="1"/>
  <c r="H40" i="1"/>
  <c r="E36" i="1"/>
  <c r="AA49" i="1"/>
  <c r="Z49" i="1"/>
  <c r="Z146" i="1"/>
  <c r="AB55" i="1"/>
  <c r="AN24" i="1"/>
  <c r="AO137" i="1"/>
  <c r="AN137" i="1"/>
  <c r="L145" i="1"/>
  <c r="AN130" i="1"/>
  <c r="AO124" i="1"/>
  <c r="AN124" i="1"/>
  <c r="AN134" i="1"/>
  <c r="I125" i="1"/>
  <c r="M119" i="1"/>
  <c r="L107" i="1"/>
  <c r="E104" i="1"/>
  <c r="AM104" i="1"/>
  <c r="AO104" i="1" s="1"/>
  <c r="H104" i="1"/>
  <c r="AN122" i="1"/>
  <c r="L125" i="1"/>
  <c r="AN101" i="1"/>
  <c r="Y97" i="1"/>
  <c r="L97" i="1"/>
  <c r="AN79" i="1"/>
  <c r="AO54" i="1"/>
  <c r="AN54" i="1"/>
  <c r="AO90" i="1"/>
  <c r="AG65" i="1"/>
  <c r="AN34" i="1"/>
  <c r="AO91" i="1"/>
  <c r="AO69" i="1"/>
  <c r="H58" i="1"/>
  <c r="AO110" i="1"/>
  <c r="AD50" i="1"/>
  <c r="AF49" i="1"/>
  <c r="N49" i="1"/>
  <c r="AJ36" i="1"/>
  <c r="H36" i="1"/>
  <c r="AO10" i="1"/>
  <c r="AM36" i="1"/>
  <c r="AO18" i="1"/>
  <c r="AN18" i="1"/>
  <c r="AO14" i="1"/>
  <c r="AN14" i="1"/>
  <c r="AB36" i="1"/>
  <c r="S49" i="1"/>
  <c r="C49" i="1"/>
  <c r="D49" i="1" s="1"/>
  <c r="AM146" i="1" l="1"/>
  <c r="E146" i="1"/>
  <c r="N50" i="1"/>
  <c r="P49" i="1"/>
  <c r="O50" i="1"/>
  <c r="Q49" i="1"/>
  <c r="R50" i="1"/>
  <c r="T49" i="1"/>
  <c r="U146" i="1"/>
  <c r="AH50" i="1"/>
  <c r="AJ49" i="1"/>
  <c r="AK49" i="1"/>
  <c r="AI50" i="1"/>
  <c r="AN58" i="1"/>
  <c r="D146" i="1"/>
  <c r="B147" i="1"/>
  <c r="AB146" i="1"/>
  <c r="AD147" i="1"/>
  <c r="AN15" i="1"/>
  <c r="AE50" i="1"/>
  <c r="AG49" i="1"/>
  <c r="J147" i="1"/>
  <c r="L50" i="1"/>
  <c r="AN119" i="1"/>
  <c r="AL146" i="1"/>
  <c r="AN146" i="1" s="1"/>
  <c r="AL49" i="1"/>
  <c r="AN104" i="1"/>
  <c r="AN40" i="1"/>
  <c r="AO125" i="1"/>
  <c r="AJ146" i="1"/>
  <c r="Z50" i="1"/>
  <c r="AB49" i="1"/>
  <c r="AO36" i="1"/>
  <c r="AC49" i="1"/>
  <c r="AA50" i="1"/>
  <c r="AF146" i="1"/>
  <c r="AN145" i="1"/>
  <c r="AO19" i="1"/>
  <c r="AN80" i="1"/>
  <c r="AO11" i="1"/>
  <c r="H146" i="1"/>
  <c r="AM49" i="1"/>
  <c r="AO49" i="1" s="1"/>
  <c r="E49" i="1"/>
  <c r="C50" i="1"/>
  <c r="P146" i="1"/>
  <c r="G50" i="1"/>
  <c r="I49" i="1"/>
  <c r="AO48" i="1"/>
  <c r="AN97" i="1"/>
  <c r="K147" i="1"/>
  <c r="M50" i="1"/>
  <c r="H49" i="1"/>
  <c r="U49" i="1"/>
  <c r="S50" i="1"/>
  <c r="M146" i="1"/>
  <c r="V50" i="1"/>
  <c r="X49" i="1"/>
  <c r="W50" i="1"/>
  <c r="Y49" i="1"/>
  <c r="F147" i="1"/>
  <c r="H50" i="1"/>
  <c r="F148" i="1" l="1"/>
  <c r="C147" i="1"/>
  <c r="AM50" i="1"/>
  <c r="AO50" i="1" s="1"/>
  <c r="E50" i="1"/>
  <c r="AE147" i="1"/>
  <c r="AG50" i="1"/>
  <c r="R147" i="1"/>
  <c r="T50" i="1"/>
  <c r="D147" i="1"/>
  <c r="B148" i="1"/>
  <c r="W147" i="1"/>
  <c r="Y50" i="1"/>
  <c r="M147" i="1"/>
  <c r="K148" i="1"/>
  <c r="M148" i="1" s="1"/>
  <c r="AN49" i="1"/>
  <c r="AF50" i="1"/>
  <c r="AI147" i="1"/>
  <c r="AK50" i="1"/>
  <c r="O147" i="1"/>
  <c r="Q50" i="1"/>
  <c r="AF147" i="1"/>
  <c r="AD148" i="1"/>
  <c r="V147" i="1"/>
  <c r="X50" i="1"/>
  <c r="N147" i="1"/>
  <c r="P50" i="1"/>
  <c r="AA147" i="1"/>
  <c r="AC50" i="1"/>
  <c r="Z147" i="1"/>
  <c r="AB50" i="1"/>
  <c r="D50" i="1"/>
  <c r="AH147" i="1"/>
  <c r="AJ50" i="1"/>
  <c r="S147" i="1"/>
  <c r="U50" i="1"/>
  <c r="G147" i="1"/>
  <c r="I50" i="1"/>
  <c r="L147" i="1"/>
  <c r="J148" i="1"/>
  <c r="AL50" i="1"/>
  <c r="AO146" i="1"/>
  <c r="AB147" i="1" l="1"/>
  <c r="Z148" i="1"/>
  <c r="AB148" i="1" s="1"/>
  <c r="AG147" i="1"/>
  <c r="AE148" i="1"/>
  <c r="AG148" i="1" s="1"/>
  <c r="AF148" i="1"/>
  <c r="I147" i="1"/>
  <c r="G148" i="1"/>
  <c r="I148" i="1" s="1"/>
  <c r="AC147" i="1"/>
  <c r="AA148" i="1"/>
  <c r="U147" i="1"/>
  <c r="S148" i="1"/>
  <c r="D148" i="1"/>
  <c r="P147" i="1"/>
  <c r="N148" i="1"/>
  <c r="AL148" i="1" s="1"/>
  <c r="AK147" i="1"/>
  <c r="AI148" i="1"/>
  <c r="AM147" i="1"/>
  <c r="E147" i="1"/>
  <c r="C148" i="1"/>
  <c r="T147" i="1"/>
  <c r="R148" i="1"/>
  <c r="T148" i="1" s="1"/>
  <c r="Q147" i="1"/>
  <c r="O148" i="1"/>
  <c r="Q148" i="1" s="1"/>
  <c r="AJ147" i="1"/>
  <c r="AH148" i="1"/>
  <c r="AJ148" i="1" s="1"/>
  <c r="AL147" i="1"/>
  <c r="AN147" i="1" s="1"/>
  <c r="Y147" i="1"/>
  <c r="W148" i="1"/>
  <c r="Y148" i="1" s="1"/>
  <c r="AN50" i="1"/>
  <c r="L148" i="1"/>
  <c r="X147" i="1"/>
  <c r="V148" i="1"/>
  <c r="H147" i="1"/>
  <c r="H148" i="1" l="1"/>
  <c r="AM148" i="1"/>
  <c r="AO148" i="1" s="1"/>
  <c r="E148" i="1"/>
  <c r="U148" i="1"/>
  <c r="X148" i="1"/>
  <c r="P148" i="1"/>
  <c r="AO147" i="1"/>
  <c r="AK148" i="1"/>
  <c r="AC148" i="1"/>
  <c r="AN148" i="1" l="1"/>
</calcChain>
</file>

<file path=xl/sharedStrings.xml><?xml version="1.0" encoding="utf-8"?>
<sst xmlns="http://schemas.openxmlformats.org/spreadsheetml/2006/main" count="206" uniqueCount="163">
  <si>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</si>
  <si>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</si>
  <si>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</si>
  <si>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</si>
  <si>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</si>
  <si>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</si>
  <si>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</si>
  <si>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</si>
  <si>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</si>
  <si>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Total</t>
  </si>
  <si>
    <t>Actual</t>
  </si>
  <si>
    <t>Budget</t>
  </si>
  <si>
    <t>over Budget</t>
  </si>
  <si>
    <t>% of Budget</t>
  </si>
  <si>
    <t>Income</t>
  </si>
  <si>
    <t xml:space="preserve">   4000 Direct contributions</t>
  </si>
  <si>
    <t xml:space="preserve">      4010 Unsolicited contributions</t>
  </si>
  <si>
    <t xml:space="preserve">      4025 This Old House Capital Improvement</t>
  </si>
  <si>
    <t xml:space="preserve">   Total 4000 Direct contributions</t>
  </si>
  <si>
    <t xml:space="preserve">   4200 Non-government grants</t>
  </si>
  <si>
    <t xml:space="preserve">      4210 Corporate/business grants</t>
  </si>
  <si>
    <t xml:space="preserve">      4230 Foundation/trust grants</t>
  </si>
  <si>
    <t xml:space="preserve">   Total 4200 Non-government grants</t>
  </si>
  <si>
    <t xml:space="preserve">   4500 Government grants</t>
  </si>
  <si>
    <t xml:space="preserve">      4520 Federal grants</t>
  </si>
  <si>
    <t xml:space="preserve">      4540 Local government grants</t>
  </si>
  <si>
    <t xml:space="preserve">   Total 4500 Government grants</t>
  </si>
  <si>
    <t xml:space="preserve">   5100 Program-related sales &amp; fees</t>
  </si>
  <si>
    <t xml:space="preserve">      5105 NERF Forum Educational</t>
  </si>
  <si>
    <t xml:space="preserve">      5110 Family Wildlife Day</t>
  </si>
  <si>
    <t xml:space="preserve">      5150 Cooking Classes</t>
  </si>
  <si>
    <t xml:space="preserve">      5165 Summit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</si>
  <si>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</si>
  <si>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</si>
  <si>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</si>
  <si>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   5220 Dues-Corporate Memberships</t>
  </si>
  <si>
    <t xml:space="preserve">   Total 5200 Dues</t>
  </si>
  <si>
    <t xml:space="preserve">   5300 Investment Income</t>
  </si>
  <si>
    <t xml:space="preserve">      5310 Interest-savings &amp; investments</t>
  </si>
  <si>
    <t xml:space="preserve">      5311 Interest -1083 EllisInvestment</t>
  </si>
  <si>
    <t xml:space="preserve">      5320 Dividends &amp; interest-securities</t>
  </si>
  <si>
    <t xml:space="preserve">      5360 Other investment income</t>
  </si>
  <si>
    <t xml:space="preserve">      5361 Other Investment 1083 Ellis</t>
  </si>
  <si>
    <t xml:space="preserve">   Total 5300 Investment Income</t>
  </si>
  <si>
    <t xml:space="preserve">   5400 Other sources</t>
  </si>
  <si>
    <t xml:space="preserve">      5450 Scholarship revenue</t>
  </si>
  <si>
    <t xml:space="preserve">      5499 Other</t>
  </si>
  <si>
    <t xml:space="preserve">   Total 5400 Other sources</t>
  </si>
  <si>
    <t xml:space="preserve">   5800 Events</t>
  </si>
  <si>
    <t xml:space="preserve">      5805 Events - Book Signing Event</t>
  </si>
  <si>
    <t xml:space="preserve">      5810 Events - Garden Tour</t>
  </si>
  <si>
    <t xml:space="preserve">      5820 Events - Art show/Concerts</t>
  </si>
  <si>
    <t xml:space="preserve">      5830 Events - Annual Membership Drive</t>
  </si>
  <si>
    <t xml:space="preserve">      5840 Events - CowBoy Julilee</t>
  </si>
  <si>
    <t xml:space="preserve">      5899 Event Other</t>
  </si>
  <si>
    <t xml:space="preserve">   Total 5800 Events</t>
  </si>
  <si>
    <t>Total Income</t>
  </si>
  <si>
    <t>Gross Profit</t>
  </si>
  <si>
    <t>Expenses</t>
  </si>
  <si>
    <t xml:space="preserve">   7000 Grants &amp; direct assistance</t>
  </si>
  <si>
    <t xml:space="preserve">      7040 Awards &amp; grants - individuals</t>
  </si>
  <si>
    <t xml:space="preserve">      7050 Scholarship - individual award</t>
  </si>
  <si>
    <t xml:space="preserve">   Total 7000 Grants &amp; direct assistance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</si>
  <si>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</si>
  <si>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</si>
  <si>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</si>
  <si>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</si>
  <si>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7520 Accounting fees</t>
  </si>
  <si>
    <t xml:space="preserve">      7525 Tax Preparation Fee</t>
  </si>
  <si>
    <t xml:space="preserve">      7526 Payroll Tax Preparation</t>
  </si>
  <si>
    <t xml:space="preserve">      7540 Professional fees - other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</si>
  <si>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</si>
  <si>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</si>
  <si>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</si>
  <si>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</si>
  <si>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8010 Transportation E/S M/S</t>
  </si>
  <si>
    <t xml:space="preserve">      8020 Climate Change (Habitat)</t>
  </si>
  <si>
    <t xml:space="preserve">      8030 Outreach</t>
  </si>
  <si>
    <t xml:space="preserve">      8035 Small Grants</t>
  </si>
  <si>
    <t xml:space="preserve">      8040 Trout in the classroom</t>
  </si>
  <si>
    <t xml:space="preserve">      8070 Family Wildlife Day</t>
  </si>
  <si>
    <t xml:space="preserve">      8074 Summit Program</t>
  </si>
  <si>
    <t xml:space="preserve">      8075 Cooking Classes Expense</t>
  </si>
  <si>
    <t xml:space="preserve">      8077 NERF Forum</t>
  </si>
  <si>
    <t xml:space="preserve">      8078 Distance Learning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</si>
  <si>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</si>
  <si>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</si>
  <si>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</si>
  <si>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</si>
  <si>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</si>
  <si>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8110 Supplies</t>
  </si>
  <si>
    <t xml:space="preserve">      8120 Website services</t>
  </si>
  <si>
    <t xml:space="preserve">      8125 Annual Membership Mtg expense</t>
  </si>
  <si>
    <t xml:space="preserve">      8130 Telephone &amp; telecommunications</t>
  </si>
  <si>
    <t xml:space="preserve">      8140 Postage &amp; shipping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</si>
  <si>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</si>
  <si>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</si>
  <si>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</si>
  <si>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8180 Volunteer education</t>
  </si>
  <si>
    <t xml:space="preserve">      8181 Donor education</t>
  </si>
  <si>
    <t xml:space="preserve">      8190 Exec. Dir. mileage expense</t>
  </si>
  <si>
    <t xml:space="preserve">      8191 Chamber of Commerce expense</t>
  </si>
  <si>
    <t xml:space="preserve">      8194 Program contingency</t>
  </si>
  <si>
    <t xml:space="preserve">      8195 Other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</si>
  <si>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</si>
  <si>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</si>
  <si>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</si>
  <si>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</si>
  <si>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</si>
  <si>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   8226 Postage expense</t>
  </si>
  <si>
    <t xml:space="preserve">      8260 Equipment rental &amp; maintenance</t>
  </si>
  <si>
    <t xml:space="preserve">   Total 8200 Administrative expenses</t>
  </si>
  <si>
    <t xml:space="preserve">   8300 Administrative Travel &amp; meeting</t>
  </si>
  <si>
    <t xml:space="preserve">      8350 Grant development expense</t>
  </si>
  <si>
    <t xml:space="preserve">   Total 8300 Administrative Travel &amp; meeting</t>
  </si>
  <si>
    <t xml:space="preserve">   8500 Administrative Other expenses</t>
  </si>
  <si>
    <t xml:space="preserve">      8510 Insurance general</t>
  </si>
  <si>
    <t xml:space="preserve">      8515 Insurance - General Liab &amp; D&amp;O</t>
  </si>
  <si>
    <t xml:space="preserve">      8520 Insurance - Workers Comp</t>
  </si>
  <si>
    <t xml:space="preserve">      8530 Membership - organization</t>
  </si>
  <si>
    <t xml:space="preserve">      8540 Strategic plan development</t>
  </si>
  <si>
    <t xml:space="preserve">      8560 Outside computer services</t>
  </si>
  <si>
    <t xml:space="preserve">      8565 Office supplies</t>
  </si>
  <si>
    <t xml:space="preserve">      8570 Advertising expenses</t>
  </si>
  <si>
    <t xml:space="preserve">      8580 Contingency provisions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</si>
  <si>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</si>
  <si>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</si>
  <si>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</si>
  <si>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8610 Bank fee-credit card</t>
  </si>
  <si>
    <t xml:space="preserve">      8611 Service Fee-Investments</t>
  </si>
  <si>
    <t xml:space="preserve">      8612 Service Fee-Invest 1083 Ellis</t>
  </si>
  <si>
    <t xml:space="preserve">      8650 Taxes - other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</si>
  <si>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</si>
  <si>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</si>
  <si>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</si>
  <si>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8710 Supplies expense</t>
  </si>
  <si>
    <t xml:space="preserve">      8720 Rental expense</t>
  </si>
  <si>
    <t xml:space="preserve">      8721 Concert transportation</t>
  </si>
  <si>
    <t xml:space="preserve">      8725 Trolley-transport</t>
  </si>
  <si>
    <t xml:space="preserve">      8730 Food</t>
  </si>
  <si>
    <t xml:space="preserve">      8740 Drinks</t>
  </si>
  <si>
    <t xml:space="preserve">      8745 Marketing</t>
  </si>
  <si>
    <t xml:space="preserve">      8750 Printing</t>
  </si>
  <si>
    <t xml:space="preserve">      8755 Advertising</t>
  </si>
  <si>
    <t xml:space="preserve">      8760 Signage</t>
  </si>
  <si>
    <t xml:space="preserve">      8780 Entertainment</t>
  </si>
  <si>
    <t xml:space="preserve">      8784 Logistics</t>
  </si>
  <si>
    <t xml:space="preserve">      8785 Merchant Fees</t>
  </si>
  <si>
    <t xml:space="preserve">      8790 Other</t>
  </si>
  <si>
    <t xml:space="preserve">      8791 Other - Salaries &amp; Wages</t>
  </si>
  <si>
    <t xml:space="preserve">      8792 TOH - Pop up dinner/Kodi Concert</t>
  </si>
  <si>
    <t xml:space="preserve">      8799 Miscellaneous-In/Out</t>
  </si>
  <si>
    <t xml:space="preserve">   Total 8700 Fund Raising Event expenses</t>
  </si>
  <si>
    <t>Total Expenses</t>
  </si>
  <si>
    <t>Net Operating Income</t>
  </si>
  <si>
    <t>Net Income</t>
  </si>
  <si>
    <t>Wednesday, Apr 17, 2024 11:40:43 AM GMT-7 - Cash Basis</t>
  </si>
  <si>
    <t>Santa Rosa Plateau Foundation</t>
  </si>
  <si>
    <t xml:space="preserve">Budget vs. Actuals: FY_2023_2024 - FY24 P&amp;L </t>
  </si>
  <si>
    <t>July 2023 - March 2024</t>
  </si>
  <si>
    <t>var to Budget</t>
  </si>
  <si>
    <t>w/o Ellis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</si>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</sst>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8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 val="singleAccounting"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44" fontId="0" fillId="0" borderId="12" xfId="1" applyFont="1" applyBorder="1"/>
    <xf numFmtId="44" fontId="7" fillId="0" borderId="12" xfId="1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165" fontId="2" fillId="0" borderId="4" xfId="0" applyNumberFormat="1" applyFont="1" applyBorder="1" applyAlignment="1">
      <alignment horizontal="right" wrapText="1"/>
    </xf>
    <xf numFmtId="44" fontId="0" fillId="0" borderId="12" xfId="0" applyNumberFormat="1" applyBorder="1"/>
    <xf numFmtId="165" fontId="7" fillId="0" borderId="12" xfId="0" applyNumberFormat="1" applyFont="1" applyBorder="1"/>
    <xf numFmtId="44" fontId="0" fillId="0" borderId="13" xfId="0" applyNumberFormat="1" applyBorder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52"/>
  <sheetViews>
    <sheetView tabSelected="1" workbookViewId="0">
      <selection sqref="A1:AO1"/>
    </sheetView>
  </sheetViews>
  <sheetFormatPr defaultRowHeight="15" x14ac:dyDescent="0.25"/>
  <cols>
    <col min="1" max="1" width="39.5703125" customWidth="1"/>
    <col min="2" max="4" width="10.28515625" hidden="1" customWidth="1"/>
    <col min="5" max="5" width="9.42578125" hidden="1" customWidth="1"/>
    <col min="6" max="6" width="11.140625" hidden="1" customWidth="1"/>
    <col min="7" max="7" width="9.42578125" hidden="1" customWidth="1"/>
    <col min="8" max="8" width="11.140625" hidden="1" customWidth="1"/>
    <col min="9" max="9" width="8.5703125" hidden="1" customWidth="1"/>
    <col min="10" max="10" width="11.140625" hidden="1" customWidth="1"/>
    <col min="11" max="11" width="9.42578125" hidden="1" customWidth="1"/>
    <col min="12" max="12" width="11.140625" hidden="1" customWidth="1"/>
    <col min="13" max="13" width="10.28515625" hidden="1" customWidth="1"/>
    <col min="14" max="14" width="9.42578125" hidden="1" customWidth="1"/>
    <col min="15" max="15" width="11.140625" hidden="1" customWidth="1"/>
    <col min="16" max="16" width="9.42578125" hidden="1" customWidth="1"/>
    <col min="17" max="17" width="8.5703125" hidden="1" customWidth="1"/>
    <col min="18" max="19" width="9.42578125" hidden="1" customWidth="1"/>
    <col min="20" max="20" width="11.140625" hidden="1" customWidth="1"/>
    <col min="21" max="23" width="9.42578125" hidden="1" customWidth="1"/>
    <col min="24" max="24" width="10.28515625" hidden="1" customWidth="1"/>
    <col min="25" max="25" width="9.42578125" hidden="1" customWidth="1"/>
    <col min="26" max="26" width="10.28515625" hidden="1" customWidth="1"/>
    <col min="27" max="27" width="9.42578125" hidden="1" customWidth="1"/>
    <col min="28" max="28" width="11.140625" hidden="1" customWidth="1"/>
    <col min="29" max="29" width="7.7109375" hidden="1" customWidth="1"/>
    <col min="30" max="31" width="11.140625" hidden="1" customWidth="1"/>
    <col min="32" max="32" width="10.28515625" hidden="1" customWidth="1"/>
    <col min="33" max="33" width="7.7109375" hidden="1" customWidth="1"/>
    <col min="34" max="34" width="9.42578125" customWidth="1"/>
    <col min="35" max="36" width="11.140625" customWidth="1"/>
    <col min="37" max="37" width="8.5703125" hidden="1" customWidth="1"/>
    <col min="38" max="39" width="10.28515625" customWidth="1"/>
    <col min="40" max="40" width="12" customWidth="1"/>
    <col min="41" max="41" width="9.42578125" hidden="1" customWidth="1"/>
    <col min="43" max="43" width="12.28515625" bestFit="1" customWidth="1"/>
    <col min="45" max="45" width="12.28515625" bestFit="1" customWidth="1"/>
  </cols>
  <sheetData>
    <row r="1" spans="1:41" ht="18" x14ac:dyDescent="0.25">
      <c r="A1" s="25" t="s">
        <v>157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ht="18" x14ac:dyDescent="0.25">
      <c r="A2" s="25" t="s">
        <v>158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x14ac:dyDescent="0.25">
      <c r="A3" s="26" t="s">
        <v>159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ht="15.75" thickBot="1" x14ac:dyDescent="0.3"/>
    <row r="5" spans="1:41" x14ac:dyDescent="0.25">
      <c r="A5" s="1"/>
      <c r="B5" s="27" t="s">
        <v>0</v>
      </c>
      <c r="C5" s="28"/>
      <c r="D5" s="28"/>
      <c r="E5" s="28"/>
      <c r="F5" s="27" t="s">
        <v>1</v>
      </c>
      <c r="G5" s="28"/>
      <c r="H5" s="28"/>
      <c r="I5" s="28"/>
      <c r="J5" s="27" t="s">
        <v>2</v>
      </c>
      <c r="K5" s="28"/>
      <c r="L5" s="28"/>
      <c r="M5" s="28"/>
      <c r="N5" s="27" t="s">
        <v>3</v>
      </c>
      <c r="O5" s="28"/>
      <c r="P5" s="28"/>
      <c r="Q5" s="28"/>
      <c r="R5" s="27" t="s">
        <v>4</v>
      </c>
      <c r="S5" s="28"/>
      <c r="T5" s="28"/>
      <c r="U5" s="28"/>
      <c r="V5" s="27" t="s">
        <v>5</v>
      </c>
      <c r="W5" s="28"/>
      <c r="X5" s="28"/>
      <c r="Y5" s="28"/>
      <c r="Z5" s="27" t="s">
        <v>6</v>
      </c>
      <c r="AA5" s="28"/>
      <c r="AB5" s="28"/>
      <c r="AC5" s="28"/>
      <c r="AD5" s="27" t="s">
        <v>7</v>
      </c>
      <c r="AE5" s="28"/>
      <c r="AF5" s="28"/>
      <c r="AG5" s="28"/>
      <c r="AH5" s="29" t="s">
        <v>8</v>
      </c>
      <c r="AI5" s="30"/>
      <c r="AJ5" s="30"/>
      <c r="AK5" s="31"/>
      <c r="AL5" s="29" t="s">
        <v>9</v>
      </c>
      <c r="AM5" s="30"/>
      <c r="AN5" s="30"/>
      <c r="AO5" s="31"/>
    </row>
    <row r="6" spans="1:41" ht="25.5" thickBot="1" x14ac:dyDescent="0.3">
      <c r="A6" s="1"/>
      <c r="B6" s="2" t="s">
        <v>10</v>
      </c>
      <c r="C6" s="2" t="s">
        <v>11</v>
      </c>
      <c r="D6" s="2" t="s">
        <v>12</v>
      </c>
      <c r="E6" s="2" t="s">
        <v>13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10</v>
      </c>
      <c r="O6" s="2" t="s">
        <v>11</v>
      </c>
      <c r="P6" s="2" t="s">
        <v>12</v>
      </c>
      <c r="Q6" s="2" t="s">
        <v>13</v>
      </c>
      <c r="R6" s="2" t="s">
        <v>10</v>
      </c>
      <c r="S6" s="2" t="s">
        <v>11</v>
      </c>
      <c r="T6" s="2" t="s">
        <v>12</v>
      </c>
      <c r="U6" s="2" t="s">
        <v>13</v>
      </c>
      <c r="V6" s="2" t="s">
        <v>10</v>
      </c>
      <c r="W6" s="2" t="s">
        <v>11</v>
      </c>
      <c r="X6" s="2" t="s">
        <v>12</v>
      </c>
      <c r="Y6" s="2" t="s">
        <v>13</v>
      </c>
      <c r="Z6" s="2" t="s">
        <v>10</v>
      </c>
      <c r="AA6" s="2" t="s">
        <v>11</v>
      </c>
      <c r="AB6" s="2" t="s">
        <v>12</v>
      </c>
      <c r="AC6" s="2" t="s">
        <v>13</v>
      </c>
      <c r="AD6" s="2" t="s">
        <v>10</v>
      </c>
      <c r="AE6" s="2" t="s">
        <v>11</v>
      </c>
      <c r="AF6" s="2" t="s">
        <v>12</v>
      </c>
      <c r="AG6" s="2" t="s">
        <v>13</v>
      </c>
      <c r="AH6" s="11" t="s">
        <v>10</v>
      </c>
      <c r="AI6" s="12" t="s">
        <v>11</v>
      </c>
      <c r="AJ6" s="12" t="s">
        <v>12</v>
      </c>
      <c r="AK6" s="13" t="s">
        <v>13</v>
      </c>
      <c r="AL6" s="11" t="s">
        <v>10</v>
      </c>
      <c r="AM6" s="12" t="s">
        <v>11</v>
      </c>
      <c r="AN6" s="12" t="s">
        <v>12</v>
      </c>
      <c r="AO6" s="13" t="s">
        <v>13</v>
      </c>
    </row>
    <row r="7" spans="1:41" x14ac:dyDescent="0.25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x14ac:dyDescent="0.25">
      <c r="A8" s="3" t="s">
        <v>15</v>
      </c>
      <c r="B8" s="4"/>
      <c r="C8" s="4"/>
      <c r="D8" s="5">
        <f t="shared" ref="D8:D50" si="0">(B8)-(C8)</f>
        <v>0</v>
      </c>
      <c r="E8" s="6" t="str">
        <f t="shared" ref="E8:E50" si="1">IF(C8=0,"",(B8)/(C8))</f>
        <v/>
      </c>
      <c r="F8" s="4"/>
      <c r="G8" s="4"/>
      <c r="H8" s="5">
        <f t="shared" ref="H8:H50" si="2">(F8)-(G8)</f>
        <v>0</v>
      </c>
      <c r="I8" s="6" t="str">
        <f t="shared" ref="I8:I50" si="3">IF(G8=0,"",(F8)/(G8))</f>
        <v/>
      </c>
      <c r="J8" s="4"/>
      <c r="K8" s="4"/>
      <c r="L8" s="5">
        <f t="shared" ref="L8:L50" si="4">(J8)-(K8)</f>
        <v>0</v>
      </c>
      <c r="M8" s="6" t="str">
        <f t="shared" ref="M8:M50" si="5">IF(K8=0,"",(J8)/(K8))</f>
        <v/>
      </c>
      <c r="N8" s="4"/>
      <c r="O8" s="4"/>
      <c r="P8" s="5">
        <f t="shared" ref="P8:P50" si="6">(N8)-(O8)</f>
        <v>0</v>
      </c>
      <c r="Q8" s="6" t="str">
        <f t="shared" ref="Q8:Q50" si="7">IF(O8=0,"",(N8)/(O8))</f>
        <v/>
      </c>
      <c r="R8" s="4"/>
      <c r="S8" s="4"/>
      <c r="T8" s="5">
        <f t="shared" ref="T8:T50" si="8">(R8)-(S8)</f>
        <v>0</v>
      </c>
      <c r="U8" s="6" t="str">
        <f t="shared" ref="U8:U50" si="9">IF(S8=0,"",(R8)/(S8))</f>
        <v/>
      </c>
      <c r="V8" s="4"/>
      <c r="W8" s="4"/>
      <c r="X8" s="5">
        <f t="shared" ref="X8:X50" si="10">(V8)-(W8)</f>
        <v>0</v>
      </c>
      <c r="Y8" s="6" t="str">
        <f t="shared" ref="Y8:Y50" si="11">IF(W8=0,"",(V8)/(W8))</f>
        <v/>
      </c>
      <c r="Z8" s="4"/>
      <c r="AA8" s="4"/>
      <c r="AB8" s="5">
        <f t="shared" ref="AB8:AB50" si="12">(Z8)-(AA8)</f>
        <v>0</v>
      </c>
      <c r="AC8" s="6" t="str">
        <f t="shared" ref="AC8:AC50" si="13">IF(AA8=0,"",(Z8)/(AA8))</f>
        <v/>
      </c>
      <c r="AD8" s="4"/>
      <c r="AE8" s="4"/>
      <c r="AF8" s="5">
        <f t="shared" ref="AF8:AF50" si="14">(AD8)-(AE8)</f>
        <v>0</v>
      </c>
      <c r="AG8" s="6" t="str">
        <f t="shared" ref="AG8:AG50" si="15">IF(AE8=0,"",(AD8)/(AE8))</f>
        <v/>
      </c>
      <c r="AH8" s="4"/>
      <c r="AI8" s="4"/>
      <c r="AJ8" s="5">
        <f t="shared" ref="AJ8:AJ50" si="16">(AH8)-(AI8)</f>
        <v>0</v>
      </c>
      <c r="AK8" s="6" t="str">
        <f t="shared" ref="AK8:AK50" si="17">IF(AI8=0,"",(AH8)/(AI8))</f>
        <v/>
      </c>
      <c r="AL8" s="5">
        <f t="shared" ref="AL8:AL50" si="18">((((((((B8)+(F8))+(J8))+(N8))+(R8))+(V8))+(Z8))+(AD8))+(AH8)</f>
        <v>0</v>
      </c>
      <c r="AM8" s="5">
        <f t="shared" ref="AM8:AM50" si="19">((((((((C8)+(G8))+(K8))+(O8))+(S8))+(W8))+(AA8))+(AE8))+(AI8)</f>
        <v>0</v>
      </c>
      <c r="AN8" s="5">
        <f t="shared" ref="AN8:AN50" si="20">(AL8)-(AM8)</f>
        <v>0</v>
      </c>
      <c r="AO8" s="6" t="str">
        <f t="shared" ref="AO8:AO50" si="21">IF(AM8=0,"",(AL8)/(AM8))</f>
        <v/>
      </c>
    </row>
    <row r="9" spans="1:41" x14ac:dyDescent="0.25">
      <c r="A9" s="3" t="s">
        <v>16</v>
      </c>
      <c r="B9" s="5">
        <f>3302.98</f>
        <v>3302.98</v>
      </c>
      <c r="C9" s="5">
        <f>1000</f>
        <v>1000</v>
      </c>
      <c r="D9" s="5">
        <f t="shared" si="0"/>
        <v>2302.98</v>
      </c>
      <c r="E9" s="6">
        <f t="shared" si="1"/>
        <v>3.3029799999999998</v>
      </c>
      <c r="F9" s="5">
        <f>350</f>
        <v>350</v>
      </c>
      <c r="G9" s="5">
        <f>1000</f>
        <v>1000</v>
      </c>
      <c r="H9" s="5">
        <f t="shared" si="2"/>
        <v>-650</v>
      </c>
      <c r="I9" s="6">
        <f t="shared" si="3"/>
        <v>0.35</v>
      </c>
      <c r="J9" s="5">
        <f>1350</f>
        <v>1350</v>
      </c>
      <c r="K9" s="5">
        <f>1000</f>
        <v>1000</v>
      </c>
      <c r="L9" s="5">
        <f t="shared" si="4"/>
        <v>350</v>
      </c>
      <c r="M9" s="6">
        <f t="shared" si="5"/>
        <v>1.35</v>
      </c>
      <c r="N9" s="4"/>
      <c r="O9" s="5">
        <f>1000</f>
        <v>1000</v>
      </c>
      <c r="P9" s="5">
        <f t="shared" si="6"/>
        <v>-1000</v>
      </c>
      <c r="Q9" s="6">
        <f t="shared" si="7"/>
        <v>0</v>
      </c>
      <c r="R9" s="5">
        <f>257.6</f>
        <v>257.60000000000002</v>
      </c>
      <c r="S9" s="5">
        <f>1000</f>
        <v>1000</v>
      </c>
      <c r="T9" s="5">
        <f t="shared" si="8"/>
        <v>-742.4</v>
      </c>
      <c r="U9" s="6">
        <f t="shared" si="9"/>
        <v>0.2576</v>
      </c>
      <c r="V9" s="5">
        <f>3749.24</f>
        <v>3749.24</v>
      </c>
      <c r="W9" s="5">
        <f>1000</f>
        <v>1000</v>
      </c>
      <c r="X9" s="5">
        <f t="shared" si="10"/>
        <v>2749.24</v>
      </c>
      <c r="Y9" s="6">
        <f t="shared" si="11"/>
        <v>3.7492399999999999</v>
      </c>
      <c r="Z9" s="5">
        <f>5183.36</f>
        <v>5183.3599999999997</v>
      </c>
      <c r="AA9" s="5">
        <f>1000</f>
        <v>1000</v>
      </c>
      <c r="AB9" s="5">
        <f t="shared" si="12"/>
        <v>4183.3599999999997</v>
      </c>
      <c r="AC9" s="6">
        <f t="shared" si="13"/>
        <v>5.1833599999999995</v>
      </c>
      <c r="AD9" s="4"/>
      <c r="AE9" s="5">
        <f>1000</f>
        <v>1000</v>
      </c>
      <c r="AF9" s="5">
        <f t="shared" si="14"/>
        <v>-1000</v>
      </c>
      <c r="AG9" s="6">
        <f t="shared" si="15"/>
        <v>0</v>
      </c>
      <c r="AH9" s="5">
        <f>6485</f>
        <v>6485</v>
      </c>
      <c r="AI9" s="5">
        <f>1000</f>
        <v>1000</v>
      </c>
      <c r="AJ9" s="5">
        <f t="shared" si="16"/>
        <v>5485</v>
      </c>
      <c r="AK9" s="6">
        <f t="shared" si="17"/>
        <v>6.4850000000000003</v>
      </c>
      <c r="AL9" s="5">
        <f t="shared" si="18"/>
        <v>20678.18</v>
      </c>
      <c r="AM9" s="5">
        <f t="shared" si="19"/>
        <v>9000</v>
      </c>
      <c r="AN9" s="5">
        <f t="shared" si="20"/>
        <v>11678.18</v>
      </c>
      <c r="AO9" s="6">
        <f t="shared" si="21"/>
        <v>2.2975755555555555</v>
      </c>
    </row>
    <row r="10" spans="1:41" x14ac:dyDescent="0.25">
      <c r="A10" s="3" t="s">
        <v>17</v>
      </c>
      <c r="B10" s="4"/>
      <c r="C10" s="5">
        <f>0</f>
        <v>0</v>
      </c>
      <c r="D10" s="5">
        <f t="shared" si="0"/>
        <v>0</v>
      </c>
      <c r="E10" s="6" t="str">
        <f t="shared" si="1"/>
        <v/>
      </c>
      <c r="F10" s="5">
        <f>5120</f>
        <v>5120</v>
      </c>
      <c r="G10" s="5">
        <f>0</f>
        <v>0</v>
      </c>
      <c r="H10" s="5">
        <f t="shared" si="2"/>
        <v>5120</v>
      </c>
      <c r="I10" s="6" t="str">
        <f t="shared" si="3"/>
        <v/>
      </c>
      <c r="J10" s="4"/>
      <c r="K10" s="5">
        <f>2000</f>
        <v>2000</v>
      </c>
      <c r="L10" s="5">
        <f t="shared" si="4"/>
        <v>-2000</v>
      </c>
      <c r="M10" s="6">
        <f t="shared" si="5"/>
        <v>0</v>
      </c>
      <c r="N10" s="5">
        <f>1000</f>
        <v>1000</v>
      </c>
      <c r="O10" s="5">
        <f>0</f>
        <v>0</v>
      </c>
      <c r="P10" s="5">
        <f t="shared" si="6"/>
        <v>1000</v>
      </c>
      <c r="Q10" s="6" t="str">
        <f t="shared" si="7"/>
        <v/>
      </c>
      <c r="R10" s="4"/>
      <c r="S10" s="5">
        <f>0</f>
        <v>0</v>
      </c>
      <c r="T10" s="5">
        <f t="shared" si="8"/>
        <v>0</v>
      </c>
      <c r="U10" s="6" t="str">
        <f t="shared" si="9"/>
        <v/>
      </c>
      <c r="V10" s="4"/>
      <c r="W10" s="5">
        <f>0</f>
        <v>0</v>
      </c>
      <c r="X10" s="5">
        <f t="shared" si="10"/>
        <v>0</v>
      </c>
      <c r="Y10" s="6" t="str">
        <f t="shared" si="11"/>
        <v/>
      </c>
      <c r="Z10" s="4"/>
      <c r="AA10" s="5">
        <f>0</f>
        <v>0</v>
      </c>
      <c r="AB10" s="5">
        <f t="shared" si="12"/>
        <v>0</v>
      </c>
      <c r="AC10" s="6" t="str">
        <f t="shared" si="13"/>
        <v/>
      </c>
      <c r="AD10" s="4"/>
      <c r="AE10" s="5">
        <f>0</f>
        <v>0</v>
      </c>
      <c r="AF10" s="5">
        <f t="shared" si="14"/>
        <v>0</v>
      </c>
      <c r="AG10" s="6" t="str">
        <f t="shared" si="15"/>
        <v/>
      </c>
      <c r="AH10" s="4"/>
      <c r="AI10" s="5">
        <f>0</f>
        <v>0</v>
      </c>
      <c r="AJ10" s="5">
        <f t="shared" si="16"/>
        <v>0</v>
      </c>
      <c r="AK10" s="6" t="str">
        <f t="shared" si="17"/>
        <v/>
      </c>
      <c r="AL10" s="5">
        <f t="shared" si="18"/>
        <v>6120</v>
      </c>
      <c r="AM10" s="5">
        <f t="shared" si="19"/>
        <v>2000</v>
      </c>
      <c r="AN10" s="5">
        <f t="shared" si="20"/>
        <v>4120</v>
      </c>
      <c r="AO10" s="6">
        <f t="shared" si="21"/>
        <v>3.06</v>
      </c>
    </row>
    <row r="11" spans="1:41" x14ac:dyDescent="0.25">
      <c r="A11" s="3" t="s">
        <v>18</v>
      </c>
      <c r="B11" s="7">
        <f>((B8)+(B9))+(B10)</f>
        <v>3302.98</v>
      </c>
      <c r="C11" s="7">
        <f>((C8)+(C9))+(C10)</f>
        <v>1000</v>
      </c>
      <c r="D11" s="7">
        <f t="shared" si="0"/>
        <v>2302.98</v>
      </c>
      <c r="E11" s="8">
        <f t="shared" si="1"/>
        <v>3.3029799999999998</v>
      </c>
      <c r="F11" s="7">
        <f>((F8)+(F9))+(F10)</f>
        <v>5470</v>
      </c>
      <c r="G11" s="7">
        <f>((G8)+(G9))+(G10)</f>
        <v>1000</v>
      </c>
      <c r="H11" s="7">
        <f t="shared" si="2"/>
        <v>4470</v>
      </c>
      <c r="I11" s="8">
        <f t="shared" si="3"/>
        <v>5.47</v>
      </c>
      <c r="J11" s="7">
        <f>((J8)+(J9))+(J10)</f>
        <v>1350</v>
      </c>
      <c r="K11" s="7">
        <f>((K8)+(K9))+(K10)</f>
        <v>3000</v>
      </c>
      <c r="L11" s="7">
        <f t="shared" si="4"/>
        <v>-1650</v>
      </c>
      <c r="M11" s="8">
        <f t="shared" si="5"/>
        <v>0.45</v>
      </c>
      <c r="N11" s="7">
        <f>((N8)+(N9))+(N10)</f>
        <v>1000</v>
      </c>
      <c r="O11" s="7">
        <f>((O8)+(O9))+(O10)</f>
        <v>1000</v>
      </c>
      <c r="P11" s="7">
        <f t="shared" si="6"/>
        <v>0</v>
      </c>
      <c r="Q11" s="8">
        <f t="shared" si="7"/>
        <v>1</v>
      </c>
      <c r="R11" s="7">
        <f>((R8)+(R9))+(R10)</f>
        <v>257.60000000000002</v>
      </c>
      <c r="S11" s="7">
        <f>((S8)+(S9))+(S10)</f>
        <v>1000</v>
      </c>
      <c r="T11" s="7">
        <f t="shared" si="8"/>
        <v>-742.4</v>
      </c>
      <c r="U11" s="8">
        <f t="shared" si="9"/>
        <v>0.2576</v>
      </c>
      <c r="V11" s="7">
        <f>((V8)+(V9))+(V10)</f>
        <v>3749.24</v>
      </c>
      <c r="W11" s="7">
        <f>((W8)+(W9))+(W10)</f>
        <v>1000</v>
      </c>
      <c r="X11" s="7">
        <f t="shared" si="10"/>
        <v>2749.24</v>
      </c>
      <c r="Y11" s="8">
        <f t="shared" si="11"/>
        <v>3.7492399999999999</v>
      </c>
      <c r="Z11" s="7">
        <f>((Z8)+(Z9))+(Z10)</f>
        <v>5183.3599999999997</v>
      </c>
      <c r="AA11" s="7">
        <f>((AA8)+(AA9))+(AA10)</f>
        <v>1000</v>
      </c>
      <c r="AB11" s="7">
        <f t="shared" si="12"/>
        <v>4183.3599999999997</v>
      </c>
      <c r="AC11" s="8">
        <f t="shared" si="13"/>
        <v>5.1833599999999995</v>
      </c>
      <c r="AD11" s="7">
        <f>((AD8)+(AD9))+(AD10)</f>
        <v>0</v>
      </c>
      <c r="AE11" s="7">
        <f>((AE8)+(AE9))+(AE10)</f>
        <v>1000</v>
      </c>
      <c r="AF11" s="7">
        <f t="shared" si="14"/>
        <v>-1000</v>
      </c>
      <c r="AG11" s="8">
        <f t="shared" si="15"/>
        <v>0</v>
      </c>
      <c r="AH11" s="7">
        <f>((AH8)+(AH9))+(AH10)</f>
        <v>6485</v>
      </c>
      <c r="AI11" s="7">
        <f>((AI8)+(AI9))+(AI10)</f>
        <v>1000</v>
      </c>
      <c r="AJ11" s="7">
        <f t="shared" si="16"/>
        <v>5485</v>
      </c>
      <c r="AK11" s="8">
        <f t="shared" si="17"/>
        <v>6.4850000000000003</v>
      </c>
      <c r="AL11" s="7">
        <f t="shared" si="18"/>
        <v>26798.18</v>
      </c>
      <c r="AM11" s="7">
        <f t="shared" si="19"/>
        <v>11000</v>
      </c>
      <c r="AN11" s="7">
        <f t="shared" si="20"/>
        <v>15798.18</v>
      </c>
      <c r="AO11" s="8">
        <f t="shared" si="21"/>
        <v>2.4361981818181819</v>
      </c>
    </row>
    <row r="12" spans="1:41" x14ac:dyDescent="0.25">
      <c r="A12" s="3" t="s">
        <v>19</v>
      </c>
      <c r="B12" s="4"/>
      <c r="C12" s="4"/>
      <c r="D12" s="5">
        <f t="shared" si="0"/>
        <v>0</v>
      </c>
      <c r="E12" s="6" t="str">
        <f t="shared" si="1"/>
        <v/>
      </c>
      <c r="F12" s="4"/>
      <c r="G12" s="4"/>
      <c r="H12" s="5">
        <f t="shared" si="2"/>
        <v>0</v>
      </c>
      <c r="I12" s="6" t="str">
        <f t="shared" si="3"/>
        <v/>
      </c>
      <c r="J12" s="4"/>
      <c r="K12" s="4"/>
      <c r="L12" s="5">
        <f t="shared" si="4"/>
        <v>0</v>
      </c>
      <c r="M12" s="6" t="str">
        <f t="shared" si="5"/>
        <v/>
      </c>
      <c r="N12" s="4"/>
      <c r="O12" s="4"/>
      <c r="P12" s="5">
        <f t="shared" si="6"/>
        <v>0</v>
      </c>
      <c r="Q12" s="6" t="str">
        <f t="shared" si="7"/>
        <v/>
      </c>
      <c r="R12" s="4"/>
      <c r="S12" s="4"/>
      <c r="T12" s="5">
        <f t="shared" si="8"/>
        <v>0</v>
      </c>
      <c r="U12" s="6" t="str">
        <f t="shared" si="9"/>
        <v/>
      </c>
      <c r="V12" s="4"/>
      <c r="W12" s="4"/>
      <c r="X12" s="5">
        <f t="shared" si="10"/>
        <v>0</v>
      </c>
      <c r="Y12" s="6" t="str">
        <f t="shared" si="11"/>
        <v/>
      </c>
      <c r="Z12" s="4"/>
      <c r="AA12" s="4"/>
      <c r="AB12" s="5">
        <f t="shared" si="12"/>
        <v>0</v>
      </c>
      <c r="AC12" s="6" t="str">
        <f t="shared" si="13"/>
        <v/>
      </c>
      <c r="AD12" s="4"/>
      <c r="AE12" s="4"/>
      <c r="AF12" s="5">
        <f t="shared" si="14"/>
        <v>0</v>
      </c>
      <c r="AG12" s="6" t="str">
        <f t="shared" si="15"/>
        <v/>
      </c>
      <c r="AH12" s="4"/>
      <c r="AI12" s="4"/>
      <c r="AJ12" s="5">
        <f t="shared" si="16"/>
        <v>0</v>
      </c>
      <c r="AK12" s="6" t="str">
        <f t="shared" si="17"/>
        <v/>
      </c>
      <c r="AL12" s="5">
        <f t="shared" si="18"/>
        <v>0</v>
      </c>
      <c r="AM12" s="5">
        <f t="shared" si="19"/>
        <v>0</v>
      </c>
      <c r="AN12" s="5">
        <f t="shared" si="20"/>
        <v>0</v>
      </c>
      <c r="AO12" s="6" t="str">
        <f t="shared" si="21"/>
        <v/>
      </c>
    </row>
    <row r="13" spans="1:41" x14ac:dyDescent="0.25">
      <c r="A13" s="3" t="s">
        <v>20</v>
      </c>
      <c r="B13" s="4"/>
      <c r="C13" s="5">
        <f>0</f>
        <v>0</v>
      </c>
      <c r="D13" s="5">
        <f t="shared" si="0"/>
        <v>0</v>
      </c>
      <c r="E13" s="6" t="str">
        <f t="shared" si="1"/>
        <v/>
      </c>
      <c r="F13" s="5">
        <f>5000</f>
        <v>5000</v>
      </c>
      <c r="G13" s="5">
        <f>0</f>
        <v>0</v>
      </c>
      <c r="H13" s="5">
        <f t="shared" si="2"/>
        <v>5000</v>
      </c>
      <c r="I13" s="6" t="str">
        <f t="shared" si="3"/>
        <v/>
      </c>
      <c r="J13" s="4"/>
      <c r="K13" s="5">
        <f>0</f>
        <v>0</v>
      </c>
      <c r="L13" s="5">
        <f t="shared" si="4"/>
        <v>0</v>
      </c>
      <c r="M13" s="6" t="str">
        <f t="shared" si="5"/>
        <v/>
      </c>
      <c r="N13" s="4"/>
      <c r="O13" s="5">
        <f>0</f>
        <v>0</v>
      </c>
      <c r="P13" s="5">
        <f t="shared" si="6"/>
        <v>0</v>
      </c>
      <c r="Q13" s="6" t="str">
        <f t="shared" si="7"/>
        <v/>
      </c>
      <c r="R13" s="4"/>
      <c r="S13" s="5">
        <f>0</f>
        <v>0</v>
      </c>
      <c r="T13" s="5">
        <f t="shared" si="8"/>
        <v>0</v>
      </c>
      <c r="U13" s="6" t="str">
        <f t="shared" si="9"/>
        <v/>
      </c>
      <c r="V13" s="4"/>
      <c r="W13" s="5">
        <f>0</f>
        <v>0</v>
      </c>
      <c r="X13" s="5">
        <f t="shared" si="10"/>
        <v>0</v>
      </c>
      <c r="Y13" s="6" t="str">
        <f t="shared" si="11"/>
        <v/>
      </c>
      <c r="Z13" s="4"/>
      <c r="AA13" s="5">
        <f>15000</f>
        <v>15000</v>
      </c>
      <c r="AB13" s="5">
        <f t="shared" si="12"/>
        <v>-15000</v>
      </c>
      <c r="AC13" s="6">
        <f t="shared" si="13"/>
        <v>0</v>
      </c>
      <c r="AD13" s="4"/>
      <c r="AE13" s="5">
        <f>0</f>
        <v>0</v>
      </c>
      <c r="AF13" s="5">
        <f t="shared" si="14"/>
        <v>0</v>
      </c>
      <c r="AG13" s="6" t="str">
        <f t="shared" si="15"/>
        <v/>
      </c>
      <c r="AH13" s="5">
        <f>2500</f>
        <v>2500</v>
      </c>
      <c r="AI13" s="5">
        <f>0</f>
        <v>0</v>
      </c>
      <c r="AJ13" s="5">
        <f t="shared" si="16"/>
        <v>2500</v>
      </c>
      <c r="AK13" s="6" t="str">
        <f t="shared" si="17"/>
        <v/>
      </c>
      <c r="AL13" s="5">
        <f t="shared" si="18"/>
        <v>7500</v>
      </c>
      <c r="AM13" s="5">
        <f t="shared" si="19"/>
        <v>15000</v>
      </c>
      <c r="AN13" s="5">
        <f t="shared" si="20"/>
        <v>-7500</v>
      </c>
      <c r="AO13" s="6">
        <f t="shared" si="21"/>
        <v>0.5</v>
      </c>
    </row>
    <row r="14" spans="1:41" x14ac:dyDescent="0.25">
      <c r="A14" s="3" t="s">
        <v>21</v>
      </c>
      <c r="B14" s="4"/>
      <c r="C14" s="5">
        <f>0</f>
        <v>0</v>
      </c>
      <c r="D14" s="5">
        <f t="shared" si="0"/>
        <v>0</v>
      </c>
      <c r="E14" s="6" t="str">
        <f t="shared" si="1"/>
        <v/>
      </c>
      <c r="F14" s="4"/>
      <c r="G14" s="5">
        <f>0</f>
        <v>0</v>
      </c>
      <c r="H14" s="5">
        <f t="shared" si="2"/>
        <v>0</v>
      </c>
      <c r="I14" s="6" t="str">
        <f t="shared" si="3"/>
        <v/>
      </c>
      <c r="J14" s="4"/>
      <c r="K14" s="5">
        <f>0</f>
        <v>0</v>
      </c>
      <c r="L14" s="5">
        <f t="shared" si="4"/>
        <v>0</v>
      </c>
      <c r="M14" s="6" t="str">
        <f t="shared" si="5"/>
        <v/>
      </c>
      <c r="N14" s="5">
        <f>15000</f>
        <v>15000</v>
      </c>
      <c r="O14" s="5">
        <f>0</f>
        <v>0</v>
      </c>
      <c r="P14" s="5">
        <f t="shared" si="6"/>
        <v>15000</v>
      </c>
      <c r="Q14" s="6" t="str">
        <f t="shared" si="7"/>
        <v/>
      </c>
      <c r="R14" s="4"/>
      <c r="S14" s="5">
        <f>50000</f>
        <v>50000</v>
      </c>
      <c r="T14" s="5">
        <f t="shared" si="8"/>
        <v>-50000</v>
      </c>
      <c r="U14" s="6">
        <f t="shared" si="9"/>
        <v>0</v>
      </c>
      <c r="V14" s="4"/>
      <c r="W14" s="5">
        <f>12500</f>
        <v>12500</v>
      </c>
      <c r="X14" s="5">
        <f t="shared" si="10"/>
        <v>-12500</v>
      </c>
      <c r="Y14" s="6">
        <f t="shared" si="11"/>
        <v>0</v>
      </c>
      <c r="Z14" s="4"/>
      <c r="AA14" s="5">
        <f>0</f>
        <v>0</v>
      </c>
      <c r="AB14" s="5">
        <f t="shared" si="12"/>
        <v>0</v>
      </c>
      <c r="AC14" s="6" t="str">
        <f t="shared" si="13"/>
        <v/>
      </c>
      <c r="AD14" s="4"/>
      <c r="AE14" s="5">
        <f>0</f>
        <v>0</v>
      </c>
      <c r="AF14" s="5">
        <f t="shared" si="14"/>
        <v>0</v>
      </c>
      <c r="AG14" s="6" t="str">
        <f t="shared" si="15"/>
        <v/>
      </c>
      <c r="AH14" s="4"/>
      <c r="AI14" s="5">
        <f>0</f>
        <v>0</v>
      </c>
      <c r="AJ14" s="5">
        <f t="shared" si="16"/>
        <v>0</v>
      </c>
      <c r="AK14" s="6" t="str">
        <f t="shared" si="17"/>
        <v/>
      </c>
      <c r="AL14" s="5">
        <f t="shared" si="18"/>
        <v>15000</v>
      </c>
      <c r="AM14" s="5">
        <f t="shared" si="19"/>
        <v>62500</v>
      </c>
      <c r="AN14" s="5">
        <f t="shared" si="20"/>
        <v>-47500</v>
      </c>
      <c r="AO14" s="6">
        <f t="shared" si="21"/>
        <v>0.24</v>
      </c>
    </row>
    <row r="15" spans="1:41" x14ac:dyDescent="0.25">
      <c r="A15" s="3" t="s">
        <v>22</v>
      </c>
      <c r="B15" s="7">
        <f>((B12)+(B13))+(B14)</f>
        <v>0</v>
      </c>
      <c r="C15" s="7">
        <f>((C12)+(C13))+(C14)</f>
        <v>0</v>
      </c>
      <c r="D15" s="7">
        <f t="shared" si="0"/>
        <v>0</v>
      </c>
      <c r="E15" s="8" t="str">
        <f t="shared" si="1"/>
        <v/>
      </c>
      <c r="F15" s="7">
        <f>((F12)+(F13))+(F14)</f>
        <v>5000</v>
      </c>
      <c r="G15" s="7">
        <f>((G12)+(G13))+(G14)</f>
        <v>0</v>
      </c>
      <c r="H15" s="7">
        <f t="shared" si="2"/>
        <v>5000</v>
      </c>
      <c r="I15" s="8" t="str">
        <f t="shared" si="3"/>
        <v/>
      </c>
      <c r="J15" s="7">
        <f>((J12)+(J13))+(J14)</f>
        <v>0</v>
      </c>
      <c r="K15" s="7">
        <f>((K12)+(K13))+(K14)</f>
        <v>0</v>
      </c>
      <c r="L15" s="7">
        <f t="shared" si="4"/>
        <v>0</v>
      </c>
      <c r="M15" s="8" t="str">
        <f t="shared" si="5"/>
        <v/>
      </c>
      <c r="N15" s="7">
        <f>((N12)+(N13))+(N14)</f>
        <v>15000</v>
      </c>
      <c r="O15" s="7">
        <f>((O12)+(O13))+(O14)</f>
        <v>0</v>
      </c>
      <c r="P15" s="7">
        <f t="shared" si="6"/>
        <v>15000</v>
      </c>
      <c r="Q15" s="8" t="str">
        <f t="shared" si="7"/>
        <v/>
      </c>
      <c r="R15" s="7">
        <f>((R12)+(R13))+(R14)</f>
        <v>0</v>
      </c>
      <c r="S15" s="7">
        <f>((S12)+(S13))+(S14)</f>
        <v>50000</v>
      </c>
      <c r="T15" s="7">
        <f t="shared" si="8"/>
        <v>-50000</v>
      </c>
      <c r="U15" s="8">
        <f t="shared" si="9"/>
        <v>0</v>
      </c>
      <c r="V15" s="7">
        <f>((V12)+(V13))+(V14)</f>
        <v>0</v>
      </c>
      <c r="W15" s="7">
        <f>((W12)+(W13))+(W14)</f>
        <v>12500</v>
      </c>
      <c r="X15" s="7">
        <f t="shared" si="10"/>
        <v>-12500</v>
      </c>
      <c r="Y15" s="8">
        <f t="shared" si="11"/>
        <v>0</v>
      </c>
      <c r="Z15" s="7">
        <f>((Z12)+(Z13))+(Z14)</f>
        <v>0</v>
      </c>
      <c r="AA15" s="7">
        <f>((AA12)+(AA13))+(AA14)</f>
        <v>15000</v>
      </c>
      <c r="AB15" s="7">
        <f t="shared" si="12"/>
        <v>-15000</v>
      </c>
      <c r="AC15" s="8">
        <f t="shared" si="13"/>
        <v>0</v>
      </c>
      <c r="AD15" s="7">
        <f>((AD12)+(AD13))+(AD14)</f>
        <v>0</v>
      </c>
      <c r="AE15" s="7">
        <f>((AE12)+(AE13))+(AE14)</f>
        <v>0</v>
      </c>
      <c r="AF15" s="7">
        <f t="shared" si="14"/>
        <v>0</v>
      </c>
      <c r="AG15" s="8" t="str">
        <f t="shared" si="15"/>
        <v/>
      </c>
      <c r="AH15" s="7">
        <f>((AH12)+(AH13))+(AH14)</f>
        <v>2500</v>
      </c>
      <c r="AI15" s="7">
        <f>((AI12)+(AI13))+(AI14)</f>
        <v>0</v>
      </c>
      <c r="AJ15" s="7">
        <f t="shared" si="16"/>
        <v>2500</v>
      </c>
      <c r="AK15" s="8" t="str">
        <f t="shared" si="17"/>
        <v/>
      </c>
      <c r="AL15" s="7">
        <f t="shared" si="18"/>
        <v>22500</v>
      </c>
      <c r="AM15" s="7">
        <f t="shared" si="19"/>
        <v>77500</v>
      </c>
      <c r="AN15" s="7">
        <f t="shared" si="20"/>
        <v>-55000</v>
      </c>
      <c r="AO15" s="8">
        <f t="shared" si="21"/>
        <v>0.29032258064516131</v>
      </c>
    </row>
    <row r="16" spans="1:41" x14ac:dyDescent="0.25">
      <c r="A16" s="3" t="s">
        <v>23</v>
      </c>
      <c r="B16" s="4"/>
      <c r="C16" s="4"/>
      <c r="D16" s="5">
        <f t="shared" si="0"/>
        <v>0</v>
      </c>
      <c r="E16" s="6" t="str">
        <f t="shared" si="1"/>
        <v/>
      </c>
      <c r="F16" s="4"/>
      <c r="G16" s="4"/>
      <c r="H16" s="5">
        <f t="shared" si="2"/>
        <v>0</v>
      </c>
      <c r="I16" s="6" t="str">
        <f t="shared" si="3"/>
        <v/>
      </c>
      <c r="J16" s="4"/>
      <c r="K16" s="4"/>
      <c r="L16" s="5">
        <f t="shared" si="4"/>
        <v>0</v>
      </c>
      <c r="M16" s="6" t="str">
        <f t="shared" si="5"/>
        <v/>
      </c>
      <c r="N16" s="4"/>
      <c r="O16" s="4"/>
      <c r="P16" s="5">
        <f t="shared" si="6"/>
        <v>0</v>
      </c>
      <c r="Q16" s="6" t="str">
        <f t="shared" si="7"/>
        <v/>
      </c>
      <c r="R16" s="4"/>
      <c r="S16" s="4"/>
      <c r="T16" s="5">
        <f t="shared" si="8"/>
        <v>0</v>
      </c>
      <c r="U16" s="6" t="str">
        <f t="shared" si="9"/>
        <v/>
      </c>
      <c r="V16" s="4"/>
      <c r="W16" s="4"/>
      <c r="X16" s="5">
        <f t="shared" si="10"/>
        <v>0</v>
      </c>
      <c r="Y16" s="6" t="str">
        <f t="shared" si="11"/>
        <v/>
      </c>
      <c r="Z16" s="4"/>
      <c r="AA16" s="4"/>
      <c r="AB16" s="5">
        <f t="shared" si="12"/>
        <v>0</v>
      </c>
      <c r="AC16" s="6" t="str">
        <f t="shared" si="13"/>
        <v/>
      </c>
      <c r="AD16" s="4"/>
      <c r="AE16" s="4"/>
      <c r="AF16" s="5">
        <f t="shared" si="14"/>
        <v>0</v>
      </c>
      <c r="AG16" s="6" t="str">
        <f t="shared" si="15"/>
        <v/>
      </c>
      <c r="AH16" s="4"/>
      <c r="AI16" s="4"/>
      <c r="AJ16" s="5">
        <f t="shared" si="16"/>
        <v>0</v>
      </c>
      <c r="AK16" s="6" t="str">
        <f t="shared" si="17"/>
        <v/>
      </c>
      <c r="AL16" s="5">
        <f t="shared" si="18"/>
        <v>0</v>
      </c>
      <c r="AM16" s="5">
        <f t="shared" si="19"/>
        <v>0</v>
      </c>
      <c r="AN16" s="5">
        <f t="shared" si="20"/>
        <v>0</v>
      </c>
      <c r="AO16" s="6" t="str">
        <f t="shared" si="21"/>
        <v/>
      </c>
    </row>
    <row r="17" spans="1:41" x14ac:dyDescent="0.25">
      <c r="A17" s="3" t="s">
        <v>24</v>
      </c>
      <c r="B17" s="5">
        <f>65738.22</f>
        <v>65738.22</v>
      </c>
      <c r="C17" s="5">
        <f>0</f>
        <v>0</v>
      </c>
      <c r="D17" s="5">
        <f t="shared" si="0"/>
        <v>65738.22</v>
      </c>
      <c r="E17" s="6" t="str">
        <f t="shared" si="1"/>
        <v/>
      </c>
      <c r="F17" s="4"/>
      <c r="G17" s="5">
        <f>0</f>
        <v>0</v>
      </c>
      <c r="H17" s="5">
        <f t="shared" si="2"/>
        <v>0</v>
      </c>
      <c r="I17" s="6" t="str">
        <f t="shared" si="3"/>
        <v/>
      </c>
      <c r="J17" s="4"/>
      <c r="K17" s="5">
        <f>0</f>
        <v>0</v>
      </c>
      <c r="L17" s="5">
        <f t="shared" si="4"/>
        <v>0</v>
      </c>
      <c r="M17" s="6" t="str">
        <f t="shared" si="5"/>
        <v/>
      </c>
      <c r="N17" s="4"/>
      <c r="O17" s="5">
        <f>1000</f>
        <v>1000</v>
      </c>
      <c r="P17" s="5">
        <f t="shared" si="6"/>
        <v>-1000</v>
      </c>
      <c r="Q17" s="6">
        <f t="shared" si="7"/>
        <v>0</v>
      </c>
      <c r="R17" s="4"/>
      <c r="S17" s="5">
        <f>0</f>
        <v>0</v>
      </c>
      <c r="T17" s="5">
        <f t="shared" si="8"/>
        <v>0</v>
      </c>
      <c r="U17" s="6" t="str">
        <f t="shared" si="9"/>
        <v/>
      </c>
      <c r="V17" s="4"/>
      <c r="W17" s="5">
        <f>0</f>
        <v>0</v>
      </c>
      <c r="X17" s="5">
        <f t="shared" si="10"/>
        <v>0</v>
      </c>
      <c r="Y17" s="6" t="str">
        <f t="shared" si="11"/>
        <v/>
      </c>
      <c r="Z17" s="4"/>
      <c r="AA17" s="5">
        <f>0</f>
        <v>0</v>
      </c>
      <c r="AB17" s="5">
        <f t="shared" si="12"/>
        <v>0</v>
      </c>
      <c r="AC17" s="6" t="str">
        <f t="shared" si="13"/>
        <v/>
      </c>
      <c r="AD17" s="4"/>
      <c r="AE17" s="5">
        <f>0</f>
        <v>0</v>
      </c>
      <c r="AF17" s="5">
        <f t="shared" si="14"/>
        <v>0</v>
      </c>
      <c r="AG17" s="6" t="str">
        <f t="shared" si="15"/>
        <v/>
      </c>
      <c r="AH17" s="4"/>
      <c r="AI17" s="5">
        <f>0</f>
        <v>0</v>
      </c>
      <c r="AJ17" s="5">
        <f t="shared" si="16"/>
        <v>0</v>
      </c>
      <c r="AK17" s="6" t="str">
        <f t="shared" si="17"/>
        <v/>
      </c>
      <c r="AL17" s="5">
        <f t="shared" si="18"/>
        <v>65738.22</v>
      </c>
      <c r="AM17" s="5">
        <f t="shared" si="19"/>
        <v>1000</v>
      </c>
      <c r="AN17" s="5">
        <f t="shared" si="20"/>
        <v>64738.22</v>
      </c>
      <c r="AO17" s="6">
        <f t="shared" si="21"/>
        <v>65.738219999999998</v>
      </c>
    </row>
    <row r="18" spans="1:41" x14ac:dyDescent="0.25">
      <c r="A18" s="3" t="s">
        <v>25</v>
      </c>
      <c r="B18" s="4"/>
      <c r="C18" s="5">
        <f>0</f>
        <v>0</v>
      </c>
      <c r="D18" s="5">
        <f t="shared" si="0"/>
        <v>0</v>
      </c>
      <c r="E18" s="6" t="str">
        <f t="shared" si="1"/>
        <v/>
      </c>
      <c r="F18" s="4"/>
      <c r="G18" s="5">
        <f>0</f>
        <v>0</v>
      </c>
      <c r="H18" s="5">
        <f t="shared" si="2"/>
        <v>0</v>
      </c>
      <c r="I18" s="6" t="str">
        <f t="shared" si="3"/>
        <v/>
      </c>
      <c r="J18" s="4"/>
      <c r="K18" s="5">
        <f>12500</f>
        <v>12500</v>
      </c>
      <c r="L18" s="5">
        <f t="shared" si="4"/>
        <v>-12500</v>
      </c>
      <c r="M18" s="6">
        <f t="shared" si="5"/>
        <v>0</v>
      </c>
      <c r="N18" s="4"/>
      <c r="O18" s="5">
        <f>0</f>
        <v>0</v>
      </c>
      <c r="P18" s="5">
        <f t="shared" si="6"/>
        <v>0</v>
      </c>
      <c r="Q18" s="6" t="str">
        <f t="shared" si="7"/>
        <v/>
      </c>
      <c r="R18" s="4"/>
      <c r="S18" s="5">
        <f>0</f>
        <v>0</v>
      </c>
      <c r="T18" s="5">
        <f t="shared" si="8"/>
        <v>0</v>
      </c>
      <c r="U18" s="6" t="str">
        <f t="shared" si="9"/>
        <v/>
      </c>
      <c r="V18" s="4"/>
      <c r="W18" s="5">
        <f>0</f>
        <v>0</v>
      </c>
      <c r="X18" s="5">
        <f t="shared" si="10"/>
        <v>0</v>
      </c>
      <c r="Y18" s="6" t="str">
        <f t="shared" si="11"/>
        <v/>
      </c>
      <c r="Z18" s="4"/>
      <c r="AA18" s="5">
        <f>0</f>
        <v>0</v>
      </c>
      <c r="AB18" s="5">
        <f t="shared" si="12"/>
        <v>0</v>
      </c>
      <c r="AC18" s="6" t="str">
        <f t="shared" si="13"/>
        <v/>
      </c>
      <c r="AD18" s="4"/>
      <c r="AE18" s="5">
        <f>0</f>
        <v>0</v>
      </c>
      <c r="AF18" s="5">
        <f t="shared" si="14"/>
        <v>0</v>
      </c>
      <c r="AG18" s="6" t="str">
        <f t="shared" si="15"/>
        <v/>
      </c>
      <c r="AH18" s="4"/>
      <c r="AI18" s="5">
        <f>0</f>
        <v>0</v>
      </c>
      <c r="AJ18" s="5">
        <f t="shared" si="16"/>
        <v>0</v>
      </c>
      <c r="AK18" s="6" t="str">
        <f t="shared" si="17"/>
        <v/>
      </c>
      <c r="AL18" s="5">
        <f t="shared" si="18"/>
        <v>0</v>
      </c>
      <c r="AM18" s="5">
        <f t="shared" si="19"/>
        <v>12500</v>
      </c>
      <c r="AN18" s="5">
        <f t="shared" si="20"/>
        <v>-12500</v>
      </c>
      <c r="AO18" s="6">
        <f t="shared" si="21"/>
        <v>0</v>
      </c>
    </row>
    <row r="19" spans="1:41" x14ac:dyDescent="0.25">
      <c r="A19" s="3" t="s">
        <v>26</v>
      </c>
      <c r="B19" s="7">
        <f>((B16)+(B17))+(B18)</f>
        <v>65738.22</v>
      </c>
      <c r="C19" s="7">
        <f>((C16)+(C17))+(C18)</f>
        <v>0</v>
      </c>
      <c r="D19" s="7">
        <f t="shared" si="0"/>
        <v>65738.22</v>
      </c>
      <c r="E19" s="8" t="str">
        <f t="shared" si="1"/>
        <v/>
      </c>
      <c r="F19" s="7">
        <f>((F16)+(F17))+(F18)</f>
        <v>0</v>
      </c>
      <c r="G19" s="7">
        <f>((G16)+(G17))+(G18)</f>
        <v>0</v>
      </c>
      <c r="H19" s="7">
        <f t="shared" si="2"/>
        <v>0</v>
      </c>
      <c r="I19" s="8" t="str">
        <f t="shared" si="3"/>
        <v/>
      </c>
      <c r="J19" s="7">
        <f>((J16)+(J17))+(J18)</f>
        <v>0</v>
      </c>
      <c r="K19" s="7">
        <f>((K16)+(K17))+(K18)</f>
        <v>12500</v>
      </c>
      <c r="L19" s="7">
        <f t="shared" si="4"/>
        <v>-12500</v>
      </c>
      <c r="M19" s="8">
        <f t="shared" si="5"/>
        <v>0</v>
      </c>
      <c r="N19" s="7">
        <f>((N16)+(N17))+(N18)</f>
        <v>0</v>
      </c>
      <c r="O19" s="7">
        <f>((O16)+(O17))+(O18)</f>
        <v>1000</v>
      </c>
      <c r="P19" s="7">
        <f t="shared" si="6"/>
        <v>-1000</v>
      </c>
      <c r="Q19" s="8">
        <f t="shared" si="7"/>
        <v>0</v>
      </c>
      <c r="R19" s="7">
        <f>((R16)+(R17))+(R18)</f>
        <v>0</v>
      </c>
      <c r="S19" s="7">
        <f>((S16)+(S17))+(S18)</f>
        <v>0</v>
      </c>
      <c r="T19" s="7">
        <f t="shared" si="8"/>
        <v>0</v>
      </c>
      <c r="U19" s="8" t="str">
        <f t="shared" si="9"/>
        <v/>
      </c>
      <c r="V19" s="7">
        <f>((V16)+(V17))+(V18)</f>
        <v>0</v>
      </c>
      <c r="W19" s="7">
        <f>((W16)+(W17))+(W18)</f>
        <v>0</v>
      </c>
      <c r="X19" s="7">
        <f t="shared" si="10"/>
        <v>0</v>
      </c>
      <c r="Y19" s="8" t="str">
        <f t="shared" si="11"/>
        <v/>
      </c>
      <c r="Z19" s="7">
        <f>((Z16)+(Z17))+(Z18)</f>
        <v>0</v>
      </c>
      <c r="AA19" s="7">
        <f>((AA16)+(AA17))+(AA18)</f>
        <v>0</v>
      </c>
      <c r="AB19" s="7">
        <f t="shared" si="12"/>
        <v>0</v>
      </c>
      <c r="AC19" s="8" t="str">
        <f t="shared" si="13"/>
        <v/>
      </c>
      <c r="AD19" s="7">
        <f>((AD16)+(AD17))+(AD18)</f>
        <v>0</v>
      </c>
      <c r="AE19" s="7">
        <f>((AE16)+(AE17))+(AE18)</f>
        <v>0</v>
      </c>
      <c r="AF19" s="7">
        <f t="shared" si="14"/>
        <v>0</v>
      </c>
      <c r="AG19" s="8" t="str">
        <f t="shared" si="15"/>
        <v/>
      </c>
      <c r="AH19" s="7">
        <f>((AH16)+(AH17))+(AH18)</f>
        <v>0</v>
      </c>
      <c r="AI19" s="7">
        <f>((AI16)+(AI17))+(AI18)</f>
        <v>0</v>
      </c>
      <c r="AJ19" s="7">
        <f t="shared" si="16"/>
        <v>0</v>
      </c>
      <c r="AK19" s="8" t="str">
        <f t="shared" si="17"/>
        <v/>
      </c>
      <c r="AL19" s="7">
        <f t="shared" si="18"/>
        <v>65738.22</v>
      </c>
      <c r="AM19" s="7">
        <f t="shared" si="19"/>
        <v>13500</v>
      </c>
      <c r="AN19" s="7">
        <f t="shared" si="20"/>
        <v>52238.22</v>
      </c>
      <c r="AO19" s="8">
        <f t="shared" si="21"/>
        <v>4.8694977777777781</v>
      </c>
    </row>
    <row r="20" spans="1:41" x14ac:dyDescent="0.25">
      <c r="A20" s="3" t="s">
        <v>27</v>
      </c>
      <c r="B20" s="4"/>
      <c r="C20" s="4"/>
      <c r="D20" s="5">
        <f t="shared" si="0"/>
        <v>0</v>
      </c>
      <c r="E20" s="6" t="str">
        <f t="shared" si="1"/>
        <v/>
      </c>
      <c r="F20" s="4"/>
      <c r="G20" s="4"/>
      <c r="H20" s="5">
        <f t="shared" si="2"/>
        <v>0</v>
      </c>
      <c r="I20" s="6" t="str">
        <f t="shared" si="3"/>
        <v/>
      </c>
      <c r="J20" s="4"/>
      <c r="K20" s="4"/>
      <c r="L20" s="5">
        <f t="shared" si="4"/>
        <v>0</v>
      </c>
      <c r="M20" s="6" t="str">
        <f t="shared" si="5"/>
        <v/>
      </c>
      <c r="N20" s="4"/>
      <c r="O20" s="4"/>
      <c r="P20" s="5">
        <f t="shared" si="6"/>
        <v>0</v>
      </c>
      <c r="Q20" s="6" t="str">
        <f t="shared" si="7"/>
        <v/>
      </c>
      <c r="R20" s="4"/>
      <c r="S20" s="4"/>
      <c r="T20" s="5">
        <f t="shared" si="8"/>
        <v>0</v>
      </c>
      <c r="U20" s="6" t="str">
        <f t="shared" si="9"/>
        <v/>
      </c>
      <c r="V20" s="4"/>
      <c r="W20" s="4"/>
      <c r="X20" s="5">
        <f t="shared" si="10"/>
        <v>0</v>
      </c>
      <c r="Y20" s="6" t="str">
        <f t="shared" si="11"/>
        <v/>
      </c>
      <c r="Z20" s="4"/>
      <c r="AA20" s="4"/>
      <c r="AB20" s="5">
        <f t="shared" si="12"/>
        <v>0</v>
      </c>
      <c r="AC20" s="6" t="str">
        <f t="shared" si="13"/>
        <v/>
      </c>
      <c r="AD20" s="4"/>
      <c r="AE20" s="4"/>
      <c r="AF20" s="5">
        <f t="shared" si="14"/>
        <v>0</v>
      </c>
      <c r="AG20" s="6" t="str">
        <f t="shared" si="15"/>
        <v/>
      </c>
      <c r="AH20" s="4"/>
      <c r="AI20" s="4"/>
      <c r="AJ20" s="5">
        <f t="shared" si="16"/>
        <v>0</v>
      </c>
      <c r="AK20" s="6" t="str">
        <f t="shared" si="17"/>
        <v/>
      </c>
      <c r="AL20" s="5">
        <f t="shared" si="18"/>
        <v>0</v>
      </c>
      <c r="AM20" s="5">
        <f t="shared" si="19"/>
        <v>0</v>
      </c>
      <c r="AN20" s="5">
        <f t="shared" si="20"/>
        <v>0</v>
      </c>
      <c r="AO20" s="6" t="str">
        <f t="shared" si="21"/>
        <v/>
      </c>
    </row>
    <row r="21" spans="1:41" x14ac:dyDescent="0.25">
      <c r="A21" s="3" t="s">
        <v>28</v>
      </c>
      <c r="B21" s="4"/>
      <c r="C21" s="5">
        <f>0</f>
        <v>0</v>
      </c>
      <c r="D21" s="5">
        <f t="shared" si="0"/>
        <v>0</v>
      </c>
      <c r="E21" s="6" t="str">
        <f t="shared" si="1"/>
        <v/>
      </c>
      <c r="F21" s="4"/>
      <c r="G21" s="5">
        <f>0</f>
        <v>0</v>
      </c>
      <c r="H21" s="5">
        <f t="shared" si="2"/>
        <v>0</v>
      </c>
      <c r="I21" s="6" t="str">
        <f t="shared" si="3"/>
        <v/>
      </c>
      <c r="J21" s="4"/>
      <c r="K21" s="5">
        <f>0</f>
        <v>0</v>
      </c>
      <c r="L21" s="5">
        <f t="shared" si="4"/>
        <v>0</v>
      </c>
      <c r="M21" s="6" t="str">
        <f t="shared" si="5"/>
        <v/>
      </c>
      <c r="N21" s="4"/>
      <c r="O21" s="5">
        <f>0</f>
        <v>0</v>
      </c>
      <c r="P21" s="5">
        <f t="shared" si="6"/>
        <v>0</v>
      </c>
      <c r="Q21" s="6" t="str">
        <f t="shared" si="7"/>
        <v/>
      </c>
      <c r="R21" s="4"/>
      <c r="S21" s="5">
        <f>0</f>
        <v>0</v>
      </c>
      <c r="T21" s="5">
        <f t="shared" si="8"/>
        <v>0</v>
      </c>
      <c r="U21" s="6" t="str">
        <f t="shared" si="9"/>
        <v/>
      </c>
      <c r="V21" s="4"/>
      <c r="W21" s="5">
        <f>0</f>
        <v>0</v>
      </c>
      <c r="X21" s="5">
        <f t="shared" si="10"/>
        <v>0</v>
      </c>
      <c r="Y21" s="6" t="str">
        <f t="shared" si="11"/>
        <v/>
      </c>
      <c r="Z21" s="4"/>
      <c r="AA21" s="5">
        <f>0</f>
        <v>0</v>
      </c>
      <c r="AB21" s="5">
        <f t="shared" si="12"/>
        <v>0</v>
      </c>
      <c r="AC21" s="6" t="str">
        <f t="shared" si="13"/>
        <v/>
      </c>
      <c r="AD21" s="5">
        <f>581.01</f>
        <v>581.01</v>
      </c>
      <c r="AE21" s="5">
        <f>0</f>
        <v>0</v>
      </c>
      <c r="AF21" s="5">
        <f t="shared" si="14"/>
        <v>581.01</v>
      </c>
      <c r="AG21" s="6" t="str">
        <f t="shared" si="15"/>
        <v/>
      </c>
      <c r="AH21" s="4"/>
      <c r="AI21" s="5">
        <f>0</f>
        <v>0</v>
      </c>
      <c r="AJ21" s="5">
        <f t="shared" si="16"/>
        <v>0</v>
      </c>
      <c r="AK21" s="6" t="str">
        <f t="shared" si="17"/>
        <v/>
      </c>
      <c r="AL21" s="5">
        <f t="shared" si="18"/>
        <v>581.01</v>
      </c>
      <c r="AM21" s="5">
        <f t="shared" si="19"/>
        <v>0</v>
      </c>
      <c r="AN21" s="5">
        <f t="shared" si="20"/>
        <v>581.01</v>
      </c>
      <c r="AO21" s="6" t="str">
        <f t="shared" si="21"/>
        <v/>
      </c>
    </row>
    <row r="22" spans="1:41" x14ac:dyDescent="0.25">
      <c r="A22" s="3" t="s">
        <v>29</v>
      </c>
      <c r="B22" s="4"/>
      <c r="C22" s="5">
        <f>0</f>
        <v>0</v>
      </c>
      <c r="D22" s="5">
        <f t="shared" si="0"/>
        <v>0</v>
      </c>
      <c r="E22" s="6" t="str">
        <f t="shared" si="1"/>
        <v/>
      </c>
      <c r="F22" s="4"/>
      <c r="G22" s="5">
        <f>0</f>
        <v>0</v>
      </c>
      <c r="H22" s="5">
        <f t="shared" si="2"/>
        <v>0</v>
      </c>
      <c r="I22" s="6" t="str">
        <f t="shared" si="3"/>
        <v/>
      </c>
      <c r="J22" s="4"/>
      <c r="K22" s="5">
        <f>0</f>
        <v>0</v>
      </c>
      <c r="L22" s="5">
        <f t="shared" si="4"/>
        <v>0</v>
      </c>
      <c r="M22" s="6" t="str">
        <f t="shared" si="5"/>
        <v/>
      </c>
      <c r="N22" s="5">
        <f>627.39</f>
        <v>627.39</v>
      </c>
      <c r="O22" s="5">
        <f>0</f>
        <v>0</v>
      </c>
      <c r="P22" s="5">
        <f t="shared" si="6"/>
        <v>627.39</v>
      </c>
      <c r="Q22" s="6" t="str">
        <f t="shared" si="7"/>
        <v/>
      </c>
      <c r="R22" s="5">
        <f>2098.61</f>
        <v>2098.61</v>
      </c>
      <c r="S22" s="5">
        <f>10000</f>
        <v>10000</v>
      </c>
      <c r="T22" s="5">
        <f t="shared" si="8"/>
        <v>-7901.3899999999994</v>
      </c>
      <c r="U22" s="6">
        <f t="shared" si="9"/>
        <v>0.20986100000000002</v>
      </c>
      <c r="V22" s="4"/>
      <c r="W22" s="5">
        <f>0</f>
        <v>0</v>
      </c>
      <c r="X22" s="5">
        <f t="shared" si="10"/>
        <v>0</v>
      </c>
      <c r="Y22" s="6" t="str">
        <f t="shared" si="11"/>
        <v/>
      </c>
      <c r="Z22" s="4"/>
      <c r="AA22" s="5">
        <f>0</f>
        <v>0</v>
      </c>
      <c r="AB22" s="5">
        <f t="shared" si="12"/>
        <v>0</v>
      </c>
      <c r="AC22" s="6" t="str">
        <f t="shared" si="13"/>
        <v/>
      </c>
      <c r="AD22" s="4"/>
      <c r="AE22" s="5">
        <f>0</f>
        <v>0</v>
      </c>
      <c r="AF22" s="5">
        <f t="shared" si="14"/>
        <v>0</v>
      </c>
      <c r="AG22" s="6" t="str">
        <f t="shared" si="15"/>
        <v/>
      </c>
      <c r="AH22" s="5">
        <f>548</f>
        <v>548</v>
      </c>
      <c r="AI22" s="5">
        <f>0</f>
        <v>0</v>
      </c>
      <c r="AJ22" s="5">
        <f t="shared" si="16"/>
        <v>548</v>
      </c>
      <c r="AK22" s="6" t="str">
        <f t="shared" si="17"/>
        <v/>
      </c>
      <c r="AL22" s="5">
        <f t="shared" si="18"/>
        <v>3274</v>
      </c>
      <c r="AM22" s="5">
        <f t="shared" si="19"/>
        <v>10000</v>
      </c>
      <c r="AN22" s="5">
        <f t="shared" si="20"/>
        <v>-6726</v>
      </c>
      <c r="AO22" s="6">
        <f t="shared" si="21"/>
        <v>0.32740000000000002</v>
      </c>
    </row>
    <row r="23" spans="1:41" x14ac:dyDescent="0.25">
      <c r="A23" s="3" t="s">
        <v>30</v>
      </c>
      <c r="B23" s="4"/>
      <c r="C23" s="5">
        <f>0</f>
        <v>0</v>
      </c>
      <c r="D23" s="5">
        <f t="shared" si="0"/>
        <v>0</v>
      </c>
      <c r="E23" s="6" t="str">
        <f t="shared" si="1"/>
        <v/>
      </c>
      <c r="F23" s="4"/>
      <c r="G23" s="5">
        <f>0</f>
        <v>0</v>
      </c>
      <c r="H23" s="5">
        <f t="shared" si="2"/>
        <v>0</v>
      </c>
      <c r="I23" s="6" t="str">
        <f t="shared" si="3"/>
        <v/>
      </c>
      <c r="J23" s="4"/>
      <c r="K23" s="5">
        <f>0</f>
        <v>0</v>
      </c>
      <c r="L23" s="5">
        <f t="shared" si="4"/>
        <v>0</v>
      </c>
      <c r="M23" s="6" t="str">
        <f t="shared" si="5"/>
        <v/>
      </c>
      <c r="N23" s="4"/>
      <c r="O23" s="5">
        <f>2500</f>
        <v>2500</v>
      </c>
      <c r="P23" s="5">
        <f t="shared" si="6"/>
        <v>-2500</v>
      </c>
      <c r="Q23" s="6">
        <f t="shared" si="7"/>
        <v>0</v>
      </c>
      <c r="R23" s="4"/>
      <c r="S23" s="5">
        <f>3100</f>
        <v>3100</v>
      </c>
      <c r="T23" s="5">
        <f t="shared" si="8"/>
        <v>-3100</v>
      </c>
      <c r="U23" s="6">
        <f t="shared" si="9"/>
        <v>0</v>
      </c>
      <c r="V23" s="4"/>
      <c r="W23" s="5">
        <f>0</f>
        <v>0</v>
      </c>
      <c r="X23" s="5">
        <f t="shared" si="10"/>
        <v>0</v>
      </c>
      <c r="Y23" s="6" t="str">
        <f t="shared" si="11"/>
        <v/>
      </c>
      <c r="Z23" s="4"/>
      <c r="AA23" s="5">
        <f>0</f>
        <v>0</v>
      </c>
      <c r="AB23" s="5">
        <f t="shared" si="12"/>
        <v>0</v>
      </c>
      <c r="AC23" s="6" t="str">
        <f t="shared" si="13"/>
        <v/>
      </c>
      <c r="AD23" s="4"/>
      <c r="AE23" s="5">
        <f>0</f>
        <v>0</v>
      </c>
      <c r="AF23" s="5">
        <f t="shared" si="14"/>
        <v>0</v>
      </c>
      <c r="AG23" s="6" t="str">
        <f t="shared" si="15"/>
        <v/>
      </c>
      <c r="AH23" s="4"/>
      <c r="AI23" s="5">
        <f>0</f>
        <v>0</v>
      </c>
      <c r="AJ23" s="5">
        <f t="shared" si="16"/>
        <v>0</v>
      </c>
      <c r="AK23" s="6" t="str">
        <f t="shared" si="17"/>
        <v/>
      </c>
      <c r="AL23" s="5">
        <f t="shared" si="18"/>
        <v>0</v>
      </c>
      <c r="AM23" s="5">
        <f t="shared" si="19"/>
        <v>5600</v>
      </c>
      <c r="AN23" s="5">
        <f t="shared" si="20"/>
        <v>-5600</v>
      </c>
      <c r="AO23" s="6">
        <f t="shared" si="21"/>
        <v>0</v>
      </c>
    </row>
    <row r="24" spans="1:41" x14ac:dyDescent="0.25">
      <c r="A24" s="3" t="s">
        <v>31</v>
      </c>
      <c r="B24" s="4"/>
      <c r="C24" s="5">
        <f>0</f>
        <v>0</v>
      </c>
      <c r="D24" s="5">
        <f t="shared" si="0"/>
        <v>0</v>
      </c>
      <c r="E24" s="6" t="str">
        <f t="shared" si="1"/>
        <v/>
      </c>
      <c r="F24" s="4"/>
      <c r="G24" s="5">
        <f>0</f>
        <v>0</v>
      </c>
      <c r="H24" s="5">
        <f t="shared" si="2"/>
        <v>0</v>
      </c>
      <c r="I24" s="6" t="str">
        <f t="shared" si="3"/>
        <v/>
      </c>
      <c r="J24" s="4"/>
      <c r="K24" s="5">
        <f>0</f>
        <v>0</v>
      </c>
      <c r="L24" s="5">
        <f t="shared" si="4"/>
        <v>0</v>
      </c>
      <c r="M24" s="6" t="str">
        <f t="shared" si="5"/>
        <v/>
      </c>
      <c r="N24" s="4"/>
      <c r="O24" s="5">
        <f>0</f>
        <v>0</v>
      </c>
      <c r="P24" s="5">
        <f t="shared" si="6"/>
        <v>0</v>
      </c>
      <c r="Q24" s="6" t="str">
        <f t="shared" si="7"/>
        <v/>
      </c>
      <c r="R24" s="4"/>
      <c r="S24" s="5">
        <f>0</f>
        <v>0</v>
      </c>
      <c r="T24" s="5">
        <f t="shared" si="8"/>
        <v>0</v>
      </c>
      <c r="U24" s="6" t="str">
        <f t="shared" si="9"/>
        <v/>
      </c>
      <c r="V24" s="4"/>
      <c r="W24" s="5">
        <f>0</f>
        <v>0</v>
      </c>
      <c r="X24" s="5">
        <f t="shared" si="10"/>
        <v>0</v>
      </c>
      <c r="Y24" s="6" t="str">
        <f t="shared" si="11"/>
        <v/>
      </c>
      <c r="Z24" s="4"/>
      <c r="AA24" s="5">
        <f>0</f>
        <v>0</v>
      </c>
      <c r="AB24" s="5">
        <f t="shared" si="12"/>
        <v>0</v>
      </c>
      <c r="AC24" s="6" t="str">
        <f t="shared" si="13"/>
        <v/>
      </c>
      <c r="AD24" s="4"/>
      <c r="AE24" s="5">
        <f>0</f>
        <v>0</v>
      </c>
      <c r="AF24" s="5">
        <f t="shared" si="14"/>
        <v>0</v>
      </c>
      <c r="AG24" s="6" t="str">
        <f t="shared" si="15"/>
        <v/>
      </c>
      <c r="AH24" s="4"/>
      <c r="AI24" s="5">
        <f>10000</f>
        <v>10000</v>
      </c>
      <c r="AJ24" s="5">
        <f t="shared" si="16"/>
        <v>-10000</v>
      </c>
      <c r="AK24" s="6">
        <f t="shared" si="17"/>
        <v>0</v>
      </c>
      <c r="AL24" s="5">
        <f t="shared" si="18"/>
        <v>0</v>
      </c>
      <c r="AM24" s="5">
        <f t="shared" si="19"/>
        <v>10000</v>
      </c>
      <c r="AN24" s="5">
        <f t="shared" si="20"/>
        <v>-10000</v>
      </c>
      <c r="AO24" s="6">
        <f t="shared" si="21"/>
        <v>0</v>
      </c>
    </row>
    <row r="25" spans="1:41" x14ac:dyDescent="0.25">
      <c r="A25" s="3" t="s">
        <v>32</v>
      </c>
      <c r="B25" s="7">
        <f>((((B20)+(B21))+(B22))+(B23))+(B24)</f>
        <v>0</v>
      </c>
      <c r="C25" s="7">
        <f>((((C20)+(C21))+(C22))+(C23))+(C24)</f>
        <v>0</v>
      </c>
      <c r="D25" s="7">
        <f t="shared" si="0"/>
        <v>0</v>
      </c>
      <c r="E25" s="8" t="str">
        <f t="shared" si="1"/>
        <v/>
      </c>
      <c r="F25" s="7">
        <f>((((F20)+(F21))+(F22))+(F23))+(F24)</f>
        <v>0</v>
      </c>
      <c r="G25" s="7">
        <f>((((G20)+(G21))+(G22))+(G23))+(G24)</f>
        <v>0</v>
      </c>
      <c r="H25" s="7">
        <f t="shared" si="2"/>
        <v>0</v>
      </c>
      <c r="I25" s="8" t="str">
        <f t="shared" si="3"/>
        <v/>
      </c>
      <c r="J25" s="7">
        <f>((((J20)+(J21))+(J22))+(J23))+(J24)</f>
        <v>0</v>
      </c>
      <c r="K25" s="7">
        <f>((((K20)+(K21))+(K22))+(K23))+(K24)</f>
        <v>0</v>
      </c>
      <c r="L25" s="7">
        <f t="shared" si="4"/>
        <v>0</v>
      </c>
      <c r="M25" s="8" t="str">
        <f t="shared" si="5"/>
        <v/>
      </c>
      <c r="N25" s="7">
        <f>((((N20)+(N21))+(N22))+(N23))+(N24)</f>
        <v>627.39</v>
      </c>
      <c r="O25" s="7">
        <f>((((O20)+(O21))+(O22))+(O23))+(O24)</f>
        <v>2500</v>
      </c>
      <c r="P25" s="7">
        <f t="shared" si="6"/>
        <v>-1872.6100000000001</v>
      </c>
      <c r="Q25" s="8">
        <f t="shared" si="7"/>
        <v>0.25095600000000001</v>
      </c>
      <c r="R25" s="7">
        <f>((((R20)+(R21))+(R22))+(R23))+(R24)</f>
        <v>2098.61</v>
      </c>
      <c r="S25" s="7">
        <f>((((S20)+(S21))+(S22))+(S23))+(S24)</f>
        <v>13100</v>
      </c>
      <c r="T25" s="7">
        <f t="shared" si="8"/>
        <v>-11001.39</v>
      </c>
      <c r="U25" s="8">
        <f t="shared" si="9"/>
        <v>0.16019923664122138</v>
      </c>
      <c r="V25" s="7">
        <f>((((V20)+(V21))+(V22))+(V23))+(V24)</f>
        <v>0</v>
      </c>
      <c r="W25" s="7">
        <f>((((W20)+(W21))+(W22))+(W23))+(W24)</f>
        <v>0</v>
      </c>
      <c r="X25" s="7">
        <f t="shared" si="10"/>
        <v>0</v>
      </c>
      <c r="Y25" s="8" t="str">
        <f t="shared" si="11"/>
        <v/>
      </c>
      <c r="Z25" s="7">
        <f>((((Z20)+(Z21))+(Z22))+(Z23))+(Z24)</f>
        <v>0</v>
      </c>
      <c r="AA25" s="7">
        <f>((((AA20)+(AA21))+(AA22))+(AA23))+(AA24)</f>
        <v>0</v>
      </c>
      <c r="AB25" s="7">
        <f t="shared" si="12"/>
        <v>0</v>
      </c>
      <c r="AC25" s="8" t="str">
        <f t="shared" si="13"/>
        <v/>
      </c>
      <c r="AD25" s="7">
        <f>((((AD20)+(AD21))+(AD22))+(AD23))+(AD24)</f>
        <v>581.01</v>
      </c>
      <c r="AE25" s="7">
        <f>((((AE20)+(AE21))+(AE22))+(AE23))+(AE24)</f>
        <v>0</v>
      </c>
      <c r="AF25" s="7">
        <f t="shared" si="14"/>
        <v>581.01</v>
      </c>
      <c r="AG25" s="8" t="str">
        <f t="shared" si="15"/>
        <v/>
      </c>
      <c r="AH25" s="7">
        <f>((((AH20)+(AH21))+(AH22))+(AH23))+(AH24)</f>
        <v>548</v>
      </c>
      <c r="AI25" s="7">
        <f>((((AI20)+(AI21))+(AI22))+(AI23))+(AI24)</f>
        <v>10000</v>
      </c>
      <c r="AJ25" s="7">
        <f t="shared" si="16"/>
        <v>-9452</v>
      </c>
      <c r="AK25" s="8">
        <f t="shared" si="17"/>
        <v>5.4800000000000001E-2</v>
      </c>
      <c r="AL25" s="7">
        <f t="shared" si="18"/>
        <v>3855.01</v>
      </c>
      <c r="AM25" s="7">
        <f t="shared" si="19"/>
        <v>25600</v>
      </c>
      <c r="AN25" s="7">
        <f t="shared" si="20"/>
        <v>-21744.989999999998</v>
      </c>
      <c r="AO25" s="8">
        <f t="shared" si="21"/>
        <v>0.150586328125</v>
      </c>
    </row>
    <row r="26" spans="1:41" x14ac:dyDescent="0.25">
      <c r="A26" s="3" t="s">
        <v>33</v>
      </c>
      <c r="B26" s="4"/>
      <c r="C26" s="4"/>
      <c r="D26" s="5">
        <f t="shared" si="0"/>
        <v>0</v>
      </c>
      <c r="E26" s="6" t="str">
        <f t="shared" si="1"/>
        <v/>
      </c>
      <c r="F26" s="4"/>
      <c r="G26" s="4"/>
      <c r="H26" s="5">
        <f t="shared" si="2"/>
        <v>0</v>
      </c>
      <c r="I26" s="6" t="str">
        <f t="shared" si="3"/>
        <v/>
      </c>
      <c r="J26" s="4"/>
      <c r="K26" s="4"/>
      <c r="L26" s="5">
        <f t="shared" si="4"/>
        <v>0</v>
      </c>
      <c r="M26" s="6" t="str">
        <f t="shared" si="5"/>
        <v/>
      </c>
      <c r="N26" s="4"/>
      <c r="O26" s="4"/>
      <c r="P26" s="5">
        <f t="shared" si="6"/>
        <v>0</v>
      </c>
      <c r="Q26" s="6" t="str">
        <f t="shared" si="7"/>
        <v/>
      </c>
      <c r="R26" s="4"/>
      <c r="S26" s="4"/>
      <c r="T26" s="5">
        <f t="shared" si="8"/>
        <v>0</v>
      </c>
      <c r="U26" s="6" t="str">
        <f t="shared" si="9"/>
        <v/>
      </c>
      <c r="V26" s="4"/>
      <c r="W26" s="4"/>
      <c r="X26" s="5">
        <f t="shared" si="10"/>
        <v>0</v>
      </c>
      <c r="Y26" s="6" t="str">
        <f t="shared" si="11"/>
        <v/>
      </c>
      <c r="Z26" s="4"/>
      <c r="AA26" s="4"/>
      <c r="AB26" s="5">
        <f t="shared" si="12"/>
        <v>0</v>
      </c>
      <c r="AC26" s="6" t="str">
        <f t="shared" si="13"/>
        <v/>
      </c>
      <c r="AD26" s="4"/>
      <c r="AE26" s="4"/>
      <c r="AF26" s="5">
        <f t="shared" si="14"/>
        <v>0</v>
      </c>
      <c r="AG26" s="6" t="str">
        <f t="shared" si="15"/>
        <v/>
      </c>
      <c r="AH26" s="4"/>
      <c r="AI26" s="4"/>
      <c r="AJ26" s="5">
        <f t="shared" si="16"/>
        <v>0</v>
      </c>
      <c r="AK26" s="6" t="str">
        <f t="shared" si="17"/>
        <v/>
      </c>
      <c r="AL26" s="5">
        <f t="shared" si="18"/>
        <v>0</v>
      </c>
      <c r="AM26" s="5">
        <f t="shared" si="19"/>
        <v>0</v>
      </c>
      <c r="AN26" s="5">
        <f t="shared" si="20"/>
        <v>0</v>
      </c>
      <c r="AO26" s="6" t="str">
        <f t="shared" si="21"/>
        <v/>
      </c>
    </row>
    <row r="27" spans="1:41" x14ac:dyDescent="0.25">
      <c r="A27" s="3" t="s">
        <v>34</v>
      </c>
      <c r="B27" s="5">
        <f>4380</f>
        <v>4380</v>
      </c>
      <c r="C27" s="5">
        <f>5000</f>
        <v>5000</v>
      </c>
      <c r="D27" s="5">
        <f t="shared" si="0"/>
        <v>-620</v>
      </c>
      <c r="E27" s="6">
        <f t="shared" si="1"/>
        <v>0.876</v>
      </c>
      <c r="F27" s="5">
        <f>1975</f>
        <v>1975</v>
      </c>
      <c r="G27" s="5">
        <f>5000</f>
        <v>5000</v>
      </c>
      <c r="H27" s="5">
        <f t="shared" si="2"/>
        <v>-3025</v>
      </c>
      <c r="I27" s="6">
        <f t="shared" si="3"/>
        <v>0.39500000000000002</v>
      </c>
      <c r="J27" s="5">
        <f>3315</f>
        <v>3315</v>
      </c>
      <c r="K27" s="5">
        <f>5000</f>
        <v>5000</v>
      </c>
      <c r="L27" s="5">
        <f t="shared" si="4"/>
        <v>-1685</v>
      </c>
      <c r="M27" s="6">
        <f t="shared" si="5"/>
        <v>0.66300000000000003</v>
      </c>
      <c r="N27" s="5">
        <f>3300</f>
        <v>3300</v>
      </c>
      <c r="O27" s="5">
        <f>5000</f>
        <v>5000</v>
      </c>
      <c r="P27" s="5">
        <f t="shared" si="6"/>
        <v>-1700</v>
      </c>
      <c r="Q27" s="6">
        <f t="shared" si="7"/>
        <v>0.66</v>
      </c>
      <c r="R27" s="5">
        <f>3745</f>
        <v>3745</v>
      </c>
      <c r="S27" s="5">
        <f>5000</f>
        <v>5000</v>
      </c>
      <c r="T27" s="5">
        <f t="shared" si="8"/>
        <v>-1255</v>
      </c>
      <c r="U27" s="6">
        <f t="shared" si="9"/>
        <v>0.749</v>
      </c>
      <c r="V27" s="5">
        <f>6375</f>
        <v>6375</v>
      </c>
      <c r="W27" s="5">
        <f>5000</f>
        <v>5000</v>
      </c>
      <c r="X27" s="5">
        <f t="shared" si="10"/>
        <v>1375</v>
      </c>
      <c r="Y27" s="6">
        <f t="shared" si="11"/>
        <v>1.2749999999999999</v>
      </c>
      <c r="Z27" s="5">
        <f>6990</f>
        <v>6990</v>
      </c>
      <c r="AA27" s="5">
        <f>5000</f>
        <v>5000</v>
      </c>
      <c r="AB27" s="5">
        <f t="shared" si="12"/>
        <v>1990</v>
      </c>
      <c r="AC27" s="6">
        <f t="shared" si="13"/>
        <v>1.3979999999999999</v>
      </c>
      <c r="AD27" s="5">
        <f>4718</f>
        <v>4718</v>
      </c>
      <c r="AE27" s="5">
        <f>5000</f>
        <v>5000</v>
      </c>
      <c r="AF27" s="5">
        <f t="shared" si="14"/>
        <v>-282</v>
      </c>
      <c r="AG27" s="6">
        <f t="shared" si="15"/>
        <v>0.94359999999999999</v>
      </c>
      <c r="AH27" s="5">
        <f>5245</f>
        <v>5245</v>
      </c>
      <c r="AI27" s="5">
        <f>5000</f>
        <v>5000</v>
      </c>
      <c r="AJ27" s="5">
        <f t="shared" si="16"/>
        <v>245</v>
      </c>
      <c r="AK27" s="6">
        <f t="shared" si="17"/>
        <v>1.0489999999999999</v>
      </c>
      <c r="AL27" s="5">
        <f t="shared" si="18"/>
        <v>40043</v>
      </c>
      <c r="AM27" s="5">
        <f t="shared" si="19"/>
        <v>45000</v>
      </c>
      <c r="AN27" s="5">
        <f t="shared" si="20"/>
        <v>-4957</v>
      </c>
      <c r="AO27" s="6">
        <f t="shared" si="21"/>
        <v>0.88984444444444444</v>
      </c>
    </row>
    <row r="28" spans="1:41" x14ac:dyDescent="0.25">
      <c r="A28" s="3" t="s">
        <v>35</v>
      </c>
      <c r="B28" s="4"/>
      <c r="C28" s="5">
        <f>0</f>
        <v>0</v>
      </c>
      <c r="D28" s="5">
        <f t="shared" si="0"/>
        <v>0</v>
      </c>
      <c r="E28" s="6" t="str">
        <f t="shared" si="1"/>
        <v/>
      </c>
      <c r="F28" s="4"/>
      <c r="G28" s="5">
        <f>0</f>
        <v>0</v>
      </c>
      <c r="H28" s="5">
        <f t="shared" si="2"/>
        <v>0</v>
      </c>
      <c r="I28" s="6" t="str">
        <f t="shared" si="3"/>
        <v/>
      </c>
      <c r="J28" s="4"/>
      <c r="K28" s="5">
        <f>0</f>
        <v>0</v>
      </c>
      <c r="L28" s="5">
        <f t="shared" si="4"/>
        <v>0</v>
      </c>
      <c r="M28" s="6" t="str">
        <f t="shared" si="5"/>
        <v/>
      </c>
      <c r="N28" s="4"/>
      <c r="O28" s="5">
        <f>2000</f>
        <v>2000</v>
      </c>
      <c r="P28" s="5">
        <f t="shared" si="6"/>
        <v>-2000</v>
      </c>
      <c r="Q28" s="6">
        <f t="shared" si="7"/>
        <v>0</v>
      </c>
      <c r="R28" s="5">
        <f>2000</f>
        <v>2000</v>
      </c>
      <c r="S28" s="5">
        <f>0</f>
        <v>0</v>
      </c>
      <c r="T28" s="5">
        <f t="shared" si="8"/>
        <v>2000</v>
      </c>
      <c r="U28" s="6" t="str">
        <f t="shared" si="9"/>
        <v/>
      </c>
      <c r="V28" s="4"/>
      <c r="W28" s="5">
        <f>0</f>
        <v>0</v>
      </c>
      <c r="X28" s="5">
        <f t="shared" si="10"/>
        <v>0</v>
      </c>
      <c r="Y28" s="6" t="str">
        <f t="shared" si="11"/>
        <v/>
      </c>
      <c r="Z28" s="4"/>
      <c r="AA28" s="5">
        <f>0</f>
        <v>0</v>
      </c>
      <c r="AB28" s="5">
        <f t="shared" si="12"/>
        <v>0</v>
      </c>
      <c r="AC28" s="6" t="str">
        <f t="shared" si="13"/>
        <v/>
      </c>
      <c r="AD28" s="4"/>
      <c r="AE28" s="5">
        <f>0</f>
        <v>0</v>
      </c>
      <c r="AF28" s="5">
        <f t="shared" si="14"/>
        <v>0</v>
      </c>
      <c r="AG28" s="6" t="str">
        <f t="shared" si="15"/>
        <v/>
      </c>
      <c r="AH28" s="4"/>
      <c r="AI28" s="5">
        <f>0</f>
        <v>0</v>
      </c>
      <c r="AJ28" s="5">
        <f t="shared" si="16"/>
        <v>0</v>
      </c>
      <c r="AK28" s="6" t="str">
        <f t="shared" si="17"/>
        <v/>
      </c>
      <c r="AL28" s="5">
        <f t="shared" si="18"/>
        <v>2000</v>
      </c>
      <c r="AM28" s="5">
        <f t="shared" si="19"/>
        <v>2000</v>
      </c>
      <c r="AN28" s="5">
        <f t="shared" si="20"/>
        <v>0</v>
      </c>
      <c r="AO28" s="6">
        <f t="shared" si="21"/>
        <v>1</v>
      </c>
    </row>
    <row r="29" spans="1:41" x14ac:dyDescent="0.25">
      <c r="A29" s="3" t="s">
        <v>36</v>
      </c>
      <c r="B29" s="7">
        <f>((B26)+(B27))+(B28)</f>
        <v>4380</v>
      </c>
      <c r="C29" s="7">
        <f>((C26)+(C27))+(C28)</f>
        <v>5000</v>
      </c>
      <c r="D29" s="7">
        <f t="shared" si="0"/>
        <v>-620</v>
      </c>
      <c r="E29" s="8">
        <f t="shared" si="1"/>
        <v>0.876</v>
      </c>
      <c r="F29" s="7">
        <f>((F26)+(F27))+(F28)</f>
        <v>1975</v>
      </c>
      <c r="G29" s="7">
        <f>((G26)+(G27))+(G28)</f>
        <v>5000</v>
      </c>
      <c r="H29" s="7">
        <f t="shared" si="2"/>
        <v>-3025</v>
      </c>
      <c r="I29" s="8">
        <f t="shared" si="3"/>
        <v>0.39500000000000002</v>
      </c>
      <c r="J29" s="7">
        <f>((J26)+(J27))+(J28)</f>
        <v>3315</v>
      </c>
      <c r="K29" s="7">
        <f>((K26)+(K27))+(K28)</f>
        <v>5000</v>
      </c>
      <c r="L29" s="7">
        <f t="shared" si="4"/>
        <v>-1685</v>
      </c>
      <c r="M29" s="8">
        <f t="shared" si="5"/>
        <v>0.66300000000000003</v>
      </c>
      <c r="N29" s="7">
        <f>((N26)+(N27))+(N28)</f>
        <v>3300</v>
      </c>
      <c r="O29" s="7">
        <f>((O26)+(O27))+(O28)</f>
        <v>7000</v>
      </c>
      <c r="P29" s="7">
        <f t="shared" si="6"/>
        <v>-3700</v>
      </c>
      <c r="Q29" s="8">
        <f t="shared" si="7"/>
        <v>0.47142857142857142</v>
      </c>
      <c r="R29" s="7">
        <f>((R26)+(R27))+(R28)</f>
        <v>5745</v>
      </c>
      <c r="S29" s="7">
        <f>((S26)+(S27))+(S28)</f>
        <v>5000</v>
      </c>
      <c r="T29" s="7">
        <f t="shared" si="8"/>
        <v>745</v>
      </c>
      <c r="U29" s="8">
        <f t="shared" si="9"/>
        <v>1.149</v>
      </c>
      <c r="V29" s="7">
        <f>((V26)+(V27))+(V28)</f>
        <v>6375</v>
      </c>
      <c r="W29" s="7">
        <f>((W26)+(W27))+(W28)</f>
        <v>5000</v>
      </c>
      <c r="X29" s="7">
        <f t="shared" si="10"/>
        <v>1375</v>
      </c>
      <c r="Y29" s="8">
        <f t="shared" si="11"/>
        <v>1.2749999999999999</v>
      </c>
      <c r="Z29" s="7">
        <f>((Z26)+(Z27))+(Z28)</f>
        <v>6990</v>
      </c>
      <c r="AA29" s="7">
        <f>((AA26)+(AA27))+(AA28)</f>
        <v>5000</v>
      </c>
      <c r="AB29" s="7">
        <f t="shared" si="12"/>
        <v>1990</v>
      </c>
      <c r="AC29" s="8">
        <f t="shared" si="13"/>
        <v>1.3979999999999999</v>
      </c>
      <c r="AD29" s="7">
        <f>((AD26)+(AD27))+(AD28)</f>
        <v>4718</v>
      </c>
      <c r="AE29" s="7">
        <f>((AE26)+(AE27))+(AE28)</f>
        <v>5000</v>
      </c>
      <c r="AF29" s="7">
        <f t="shared" si="14"/>
        <v>-282</v>
      </c>
      <c r="AG29" s="8">
        <f t="shared" si="15"/>
        <v>0.94359999999999999</v>
      </c>
      <c r="AH29" s="7">
        <f>((AH26)+(AH27))+(AH28)</f>
        <v>5245</v>
      </c>
      <c r="AI29" s="7">
        <f>((AI26)+(AI27))+(AI28)</f>
        <v>5000</v>
      </c>
      <c r="AJ29" s="7">
        <f t="shared" si="16"/>
        <v>245</v>
      </c>
      <c r="AK29" s="8">
        <f t="shared" si="17"/>
        <v>1.0489999999999999</v>
      </c>
      <c r="AL29" s="7">
        <f t="shared" si="18"/>
        <v>42043</v>
      </c>
      <c r="AM29" s="7">
        <f t="shared" si="19"/>
        <v>47000</v>
      </c>
      <c r="AN29" s="7">
        <f t="shared" si="20"/>
        <v>-4957</v>
      </c>
      <c r="AO29" s="8">
        <f t="shared" si="21"/>
        <v>0.89453191489361705</v>
      </c>
    </row>
    <row r="30" spans="1:41" x14ac:dyDescent="0.25">
      <c r="A30" s="3" t="s">
        <v>37</v>
      </c>
      <c r="B30" s="4"/>
      <c r="C30" s="4"/>
      <c r="D30" s="5">
        <f t="shared" si="0"/>
        <v>0</v>
      </c>
      <c r="E30" s="6" t="str">
        <f t="shared" si="1"/>
        <v/>
      </c>
      <c r="F30" s="4"/>
      <c r="G30" s="4"/>
      <c r="H30" s="5">
        <f t="shared" si="2"/>
        <v>0</v>
      </c>
      <c r="I30" s="6" t="str">
        <f t="shared" si="3"/>
        <v/>
      </c>
      <c r="J30" s="4"/>
      <c r="K30" s="4"/>
      <c r="L30" s="5">
        <f t="shared" si="4"/>
        <v>0</v>
      </c>
      <c r="M30" s="6" t="str">
        <f t="shared" si="5"/>
        <v/>
      </c>
      <c r="N30" s="4"/>
      <c r="O30" s="4"/>
      <c r="P30" s="5">
        <f t="shared" si="6"/>
        <v>0</v>
      </c>
      <c r="Q30" s="6" t="str">
        <f t="shared" si="7"/>
        <v/>
      </c>
      <c r="R30" s="4"/>
      <c r="S30" s="4"/>
      <c r="T30" s="5">
        <f t="shared" si="8"/>
        <v>0</v>
      </c>
      <c r="U30" s="6" t="str">
        <f t="shared" si="9"/>
        <v/>
      </c>
      <c r="V30" s="4"/>
      <c r="W30" s="4"/>
      <c r="X30" s="5">
        <f t="shared" si="10"/>
        <v>0</v>
      </c>
      <c r="Y30" s="6" t="str">
        <f t="shared" si="11"/>
        <v/>
      </c>
      <c r="Z30" s="4"/>
      <c r="AA30" s="4"/>
      <c r="AB30" s="5">
        <f t="shared" si="12"/>
        <v>0</v>
      </c>
      <c r="AC30" s="6" t="str">
        <f t="shared" si="13"/>
        <v/>
      </c>
      <c r="AD30" s="4"/>
      <c r="AE30" s="4"/>
      <c r="AF30" s="5">
        <f t="shared" si="14"/>
        <v>0</v>
      </c>
      <c r="AG30" s="6" t="str">
        <f t="shared" si="15"/>
        <v/>
      </c>
      <c r="AH30" s="4"/>
      <c r="AI30" s="4"/>
      <c r="AJ30" s="5">
        <f t="shared" si="16"/>
        <v>0</v>
      </c>
      <c r="AK30" s="6" t="str">
        <f t="shared" si="17"/>
        <v/>
      </c>
      <c r="AL30" s="5">
        <f t="shared" si="18"/>
        <v>0</v>
      </c>
      <c r="AM30" s="5">
        <f t="shared" si="19"/>
        <v>0</v>
      </c>
      <c r="AN30" s="5">
        <f t="shared" si="20"/>
        <v>0</v>
      </c>
      <c r="AO30" s="6" t="str">
        <f t="shared" si="21"/>
        <v/>
      </c>
    </row>
    <row r="31" spans="1:41" x14ac:dyDescent="0.25">
      <c r="A31" s="3" t="s">
        <v>38</v>
      </c>
      <c r="B31" s="5">
        <f>49.02</f>
        <v>49.02</v>
      </c>
      <c r="C31" s="5">
        <f>300</f>
        <v>300</v>
      </c>
      <c r="D31" s="5">
        <f t="shared" si="0"/>
        <v>-250.98</v>
      </c>
      <c r="E31" s="6">
        <f t="shared" si="1"/>
        <v>0.16340000000000002</v>
      </c>
      <c r="F31" s="5">
        <f>18.14</f>
        <v>18.14</v>
      </c>
      <c r="G31" s="5">
        <f>300</f>
        <v>300</v>
      </c>
      <c r="H31" s="5">
        <f t="shared" si="2"/>
        <v>-281.86</v>
      </c>
      <c r="I31" s="6">
        <f t="shared" si="3"/>
        <v>6.0466666666666669E-2</v>
      </c>
      <c r="J31" s="5">
        <f>84.18</f>
        <v>84.18</v>
      </c>
      <c r="K31" s="5">
        <f>300</f>
        <v>300</v>
      </c>
      <c r="L31" s="5">
        <f t="shared" si="4"/>
        <v>-215.82</v>
      </c>
      <c r="M31" s="6">
        <f t="shared" si="5"/>
        <v>0.28060000000000002</v>
      </c>
      <c r="N31" s="5">
        <f>31.94</f>
        <v>31.94</v>
      </c>
      <c r="O31" s="5">
        <f>300</f>
        <v>300</v>
      </c>
      <c r="P31" s="5">
        <f t="shared" si="6"/>
        <v>-268.06</v>
      </c>
      <c r="Q31" s="6">
        <f t="shared" si="7"/>
        <v>0.10646666666666667</v>
      </c>
      <c r="R31" s="5">
        <f>14.68</f>
        <v>14.68</v>
      </c>
      <c r="S31" s="5">
        <f>300</f>
        <v>300</v>
      </c>
      <c r="T31" s="5">
        <f t="shared" si="8"/>
        <v>-285.32</v>
      </c>
      <c r="U31" s="6">
        <f t="shared" si="9"/>
        <v>4.8933333333333336E-2</v>
      </c>
      <c r="V31" s="5">
        <f>227.7</f>
        <v>227.7</v>
      </c>
      <c r="W31" s="5">
        <f>300</f>
        <v>300</v>
      </c>
      <c r="X31" s="5">
        <f t="shared" si="10"/>
        <v>-72.300000000000011</v>
      </c>
      <c r="Y31" s="6">
        <f t="shared" si="11"/>
        <v>0.75900000000000001</v>
      </c>
      <c r="Z31" s="4"/>
      <c r="AA31" s="5">
        <f>300</f>
        <v>300</v>
      </c>
      <c r="AB31" s="5">
        <f t="shared" si="12"/>
        <v>-300</v>
      </c>
      <c r="AC31" s="6">
        <f t="shared" si="13"/>
        <v>0</v>
      </c>
      <c r="AD31" s="4"/>
      <c r="AE31" s="5">
        <f>300</f>
        <v>300</v>
      </c>
      <c r="AF31" s="5">
        <f t="shared" si="14"/>
        <v>-300</v>
      </c>
      <c r="AG31" s="6">
        <f t="shared" si="15"/>
        <v>0</v>
      </c>
      <c r="AH31" s="5">
        <f>15.89</f>
        <v>15.89</v>
      </c>
      <c r="AI31" s="5">
        <f>300</f>
        <v>300</v>
      </c>
      <c r="AJ31" s="5">
        <f t="shared" si="16"/>
        <v>-284.11</v>
      </c>
      <c r="AK31" s="6">
        <f t="shared" si="17"/>
        <v>5.2966666666666669E-2</v>
      </c>
      <c r="AL31" s="5">
        <f t="shared" si="18"/>
        <v>441.54999999999995</v>
      </c>
      <c r="AM31" s="5">
        <f t="shared" si="19"/>
        <v>2700</v>
      </c>
      <c r="AN31" s="5">
        <f t="shared" si="20"/>
        <v>-2258.4499999999998</v>
      </c>
      <c r="AO31" s="6">
        <f t="shared" si="21"/>
        <v>0.16353703703703701</v>
      </c>
    </row>
    <row r="32" spans="1:41" x14ac:dyDescent="0.25">
      <c r="A32" s="3" t="s">
        <v>39</v>
      </c>
      <c r="B32" s="5">
        <f>604.47</f>
        <v>604.47</v>
      </c>
      <c r="C32" s="5">
        <f>1000</f>
        <v>1000</v>
      </c>
      <c r="D32" s="5">
        <f t="shared" si="0"/>
        <v>-395.53</v>
      </c>
      <c r="E32" s="6">
        <f t="shared" si="1"/>
        <v>0.60447000000000006</v>
      </c>
      <c r="F32" s="5">
        <f>264.11</f>
        <v>264.11</v>
      </c>
      <c r="G32" s="5">
        <f>1000</f>
        <v>1000</v>
      </c>
      <c r="H32" s="5">
        <f t="shared" si="2"/>
        <v>-735.89</v>
      </c>
      <c r="I32" s="6">
        <f t="shared" si="3"/>
        <v>0.26411000000000001</v>
      </c>
      <c r="J32" s="5">
        <f>1551.95</f>
        <v>1551.95</v>
      </c>
      <c r="K32" s="5">
        <f>1000</f>
        <v>1000</v>
      </c>
      <c r="L32" s="5">
        <f t="shared" si="4"/>
        <v>551.95000000000005</v>
      </c>
      <c r="M32" s="6">
        <f t="shared" si="5"/>
        <v>1.5519499999999999</v>
      </c>
      <c r="N32" s="5">
        <f>609.7</f>
        <v>609.70000000000005</v>
      </c>
      <c r="O32" s="5">
        <f>1000</f>
        <v>1000</v>
      </c>
      <c r="P32" s="5">
        <f t="shared" si="6"/>
        <v>-390.29999999999995</v>
      </c>
      <c r="Q32" s="6">
        <f t="shared" si="7"/>
        <v>0.60970000000000002</v>
      </c>
      <c r="R32" s="5">
        <f>280.07</f>
        <v>280.07</v>
      </c>
      <c r="S32" s="5">
        <f>1000</f>
        <v>1000</v>
      </c>
      <c r="T32" s="5">
        <f t="shared" si="8"/>
        <v>-719.93000000000006</v>
      </c>
      <c r="U32" s="6">
        <f t="shared" si="9"/>
        <v>0.28006999999999999</v>
      </c>
      <c r="V32" s="5">
        <f>4525.5</f>
        <v>4525.5</v>
      </c>
      <c r="W32" s="5">
        <f>1000</f>
        <v>1000</v>
      </c>
      <c r="X32" s="5">
        <f t="shared" si="10"/>
        <v>3525.5</v>
      </c>
      <c r="Y32" s="6">
        <f t="shared" si="11"/>
        <v>4.5255000000000001</v>
      </c>
      <c r="Z32" s="4"/>
      <c r="AA32" s="5">
        <f>1000</f>
        <v>1000</v>
      </c>
      <c r="AB32" s="5">
        <f t="shared" si="12"/>
        <v>-1000</v>
      </c>
      <c r="AC32" s="6">
        <f t="shared" si="13"/>
        <v>0</v>
      </c>
      <c r="AD32" s="4"/>
      <c r="AE32" s="5">
        <f>1000</f>
        <v>1000</v>
      </c>
      <c r="AF32" s="5">
        <f t="shared" si="14"/>
        <v>-1000</v>
      </c>
      <c r="AG32" s="6">
        <f t="shared" si="15"/>
        <v>0</v>
      </c>
      <c r="AH32" s="5">
        <f>303.28</f>
        <v>303.27999999999997</v>
      </c>
      <c r="AI32" s="5">
        <f>1000</f>
        <v>1000</v>
      </c>
      <c r="AJ32" s="5">
        <f t="shared" si="16"/>
        <v>-696.72</v>
      </c>
      <c r="AK32" s="6">
        <f t="shared" si="17"/>
        <v>0.30327999999999999</v>
      </c>
      <c r="AL32" s="5">
        <f t="shared" si="18"/>
        <v>8139.0800000000008</v>
      </c>
      <c r="AM32" s="5">
        <f t="shared" si="19"/>
        <v>9000</v>
      </c>
      <c r="AN32" s="5">
        <f t="shared" si="20"/>
        <v>-860.91999999999916</v>
      </c>
      <c r="AO32" s="6">
        <f t="shared" si="21"/>
        <v>0.90434222222222227</v>
      </c>
    </row>
    <row r="33" spans="1:41" x14ac:dyDescent="0.25">
      <c r="A33" s="3" t="s">
        <v>40</v>
      </c>
      <c r="B33" s="4"/>
      <c r="C33" s="4"/>
      <c r="D33" s="5">
        <f t="shared" si="0"/>
        <v>0</v>
      </c>
      <c r="E33" s="6" t="str">
        <f t="shared" si="1"/>
        <v/>
      </c>
      <c r="F33" s="4"/>
      <c r="G33" s="4"/>
      <c r="H33" s="5">
        <f t="shared" si="2"/>
        <v>0</v>
      </c>
      <c r="I33" s="6" t="str">
        <f t="shared" si="3"/>
        <v/>
      </c>
      <c r="J33" s="4"/>
      <c r="K33" s="4"/>
      <c r="L33" s="5">
        <f t="shared" si="4"/>
        <v>0</v>
      </c>
      <c r="M33" s="6" t="str">
        <f t="shared" si="5"/>
        <v/>
      </c>
      <c r="N33" s="5">
        <f>2.48</f>
        <v>2.48</v>
      </c>
      <c r="O33" s="4"/>
      <c r="P33" s="5">
        <f t="shared" si="6"/>
        <v>2.48</v>
      </c>
      <c r="Q33" s="6" t="str">
        <f t="shared" si="7"/>
        <v/>
      </c>
      <c r="R33" s="5">
        <f>1.33</f>
        <v>1.33</v>
      </c>
      <c r="S33" s="4"/>
      <c r="T33" s="5">
        <f t="shared" si="8"/>
        <v>1.33</v>
      </c>
      <c r="U33" s="6" t="str">
        <f t="shared" si="9"/>
        <v/>
      </c>
      <c r="V33" s="5">
        <f>3.35</f>
        <v>3.35</v>
      </c>
      <c r="W33" s="4"/>
      <c r="X33" s="5">
        <f t="shared" si="10"/>
        <v>3.35</v>
      </c>
      <c r="Y33" s="6" t="str">
        <f t="shared" si="11"/>
        <v/>
      </c>
      <c r="Z33" s="5">
        <f>4.28</f>
        <v>4.28</v>
      </c>
      <c r="AA33" s="4"/>
      <c r="AB33" s="5">
        <f t="shared" si="12"/>
        <v>4.28</v>
      </c>
      <c r="AC33" s="6" t="str">
        <f t="shared" si="13"/>
        <v/>
      </c>
      <c r="AD33" s="5">
        <f>3.47</f>
        <v>3.47</v>
      </c>
      <c r="AE33" s="4"/>
      <c r="AF33" s="5">
        <f t="shared" si="14"/>
        <v>3.47</v>
      </c>
      <c r="AG33" s="6" t="str">
        <f t="shared" si="15"/>
        <v/>
      </c>
      <c r="AH33" s="5">
        <f>2.87</f>
        <v>2.87</v>
      </c>
      <c r="AI33" s="4"/>
      <c r="AJ33" s="5">
        <f t="shared" si="16"/>
        <v>2.87</v>
      </c>
      <c r="AK33" s="6" t="str">
        <f t="shared" si="17"/>
        <v/>
      </c>
      <c r="AL33" s="5">
        <f t="shared" si="18"/>
        <v>17.78</v>
      </c>
      <c r="AM33" s="5">
        <f t="shared" si="19"/>
        <v>0</v>
      </c>
      <c r="AN33" s="5">
        <f t="shared" si="20"/>
        <v>17.78</v>
      </c>
      <c r="AO33" s="6" t="str">
        <f t="shared" si="21"/>
        <v/>
      </c>
    </row>
    <row r="34" spans="1:41" x14ac:dyDescent="0.25">
      <c r="A34" s="3" t="s">
        <v>41</v>
      </c>
      <c r="B34" s="5">
        <f>803.18</f>
        <v>803.18</v>
      </c>
      <c r="C34" s="5">
        <f>200</f>
        <v>200</v>
      </c>
      <c r="D34" s="5">
        <f t="shared" si="0"/>
        <v>603.17999999999995</v>
      </c>
      <c r="E34" s="6">
        <f t="shared" si="1"/>
        <v>4.0158999999999994</v>
      </c>
      <c r="F34" s="5">
        <f>-592.32</f>
        <v>-592.32000000000005</v>
      </c>
      <c r="G34" s="5">
        <f>200</f>
        <v>200</v>
      </c>
      <c r="H34" s="5">
        <f t="shared" si="2"/>
        <v>-792.32</v>
      </c>
      <c r="I34" s="6">
        <f t="shared" si="3"/>
        <v>-2.9616000000000002</v>
      </c>
      <c r="J34" s="5">
        <f>-1105.37</f>
        <v>-1105.3699999999999</v>
      </c>
      <c r="K34" s="5">
        <f>200</f>
        <v>200</v>
      </c>
      <c r="L34" s="5">
        <f t="shared" si="4"/>
        <v>-1305.3699999999999</v>
      </c>
      <c r="M34" s="6">
        <f t="shared" si="5"/>
        <v>-5.5268499999999996</v>
      </c>
      <c r="N34" s="5">
        <f>-686.27</f>
        <v>-686.27</v>
      </c>
      <c r="O34" s="5">
        <f>200</f>
        <v>200</v>
      </c>
      <c r="P34" s="5">
        <f t="shared" si="6"/>
        <v>-886.27</v>
      </c>
      <c r="Q34" s="6">
        <f t="shared" si="7"/>
        <v>-3.4313500000000001</v>
      </c>
      <c r="R34" s="5">
        <f>1935.84</f>
        <v>1935.84</v>
      </c>
      <c r="S34" s="5">
        <f>200</f>
        <v>200</v>
      </c>
      <c r="T34" s="5">
        <f t="shared" si="8"/>
        <v>1735.84</v>
      </c>
      <c r="U34" s="6">
        <f t="shared" si="9"/>
        <v>9.6791999999999998</v>
      </c>
      <c r="V34" s="5">
        <f>1112.99</f>
        <v>1112.99</v>
      </c>
      <c r="W34" s="5">
        <f>200</f>
        <v>200</v>
      </c>
      <c r="X34" s="5">
        <f t="shared" si="10"/>
        <v>912.99</v>
      </c>
      <c r="Y34" s="6">
        <f t="shared" si="11"/>
        <v>5.5649499999999996</v>
      </c>
      <c r="Z34" s="4"/>
      <c r="AA34" s="5">
        <f>200</f>
        <v>200</v>
      </c>
      <c r="AB34" s="5">
        <f t="shared" si="12"/>
        <v>-200</v>
      </c>
      <c r="AC34" s="6">
        <f t="shared" si="13"/>
        <v>0</v>
      </c>
      <c r="AD34" s="4"/>
      <c r="AE34" s="5">
        <f>200</f>
        <v>200</v>
      </c>
      <c r="AF34" s="5">
        <f t="shared" si="14"/>
        <v>-200</v>
      </c>
      <c r="AG34" s="6">
        <f t="shared" si="15"/>
        <v>0</v>
      </c>
      <c r="AH34" s="5">
        <f>664.38</f>
        <v>664.38</v>
      </c>
      <c r="AI34" s="5">
        <f>200</f>
        <v>200</v>
      </c>
      <c r="AJ34" s="5">
        <f t="shared" si="16"/>
        <v>464.38</v>
      </c>
      <c r="AK34" s="6">
        <f t="shared" si="17"/>
        <v>3.3218999999999999</v>
      </c>
      <c r="AL34" s="5">
        <f t="shared" si="18"/>
        <v>2132.4299999999998</v>
      </c>
      <c r="AM34" s="5">
        <f t="shared" si="19"/>
        <v>1800</v>
      </c>
      <c r="AN34" s="5">
        <f t="shared" si="20"/>
        <v>332.42999999999984</v>
      </c>
      <c r="AO34" s="6">
        <f t="shared" si="21"/>
        <v>1.1846833333333333</v>
      </c>
    </row>
    <row r="35" spans="1:41" x14ac:dyDescent="0.25">
      <c r="A35" s="3" t="s">
        <v>42</v>
      </c>
      <c r="B35" s="5">
        <f>15327.63</f>
        <v>15327.63</v>
      </c>
      <c r="C35" s="5">
        <f>1500</f>
        <v>1500</v>
      </c>
      <c r="D35" s="5">
        <f t="shared" si="0"/>
        <v>13827.63</v>
      </c>
      <c r="E35" s="6">
        <f t="shared" si="1"/>
        <v>10.21842</v>
      </c>
      <c r="F35" s="5">
        <f>-11302.59</f>
        <v>-11302.59</v>
      </c>
      <c r="G35" s="5">
        <f>1500</f>
        <v>1500</v>
      </c>
      <c r="H35" s="5">
        <f t="shared" si="2"/>
        <v>-12802.59</v>
      </c>
      <c r="I35" s="6">
        <f t="shared" si="3"/>
        <v>-7.5350600000000005</v>
      </c>
      <c r="J35" s="5">
        <f>-21093.93</f>
        <v>-21093.93</v>
      </c>
      <c r="K35" s="5">
        <f>1500</f>
        <v>1500</v>
      </c>
      <c r="L35" s="5">
        <f t="shared" si="4"/>
        <v>-22593.93</v>
      </c>
      <c r="M35" s="6">
        <f t="shared" si="5"/>
        <v>-14.062620000000001</v>
      </c>
      <c r="N35" s="5">
        <f>-13096.88</f>
        <v>-13096.88</v>
      </c>
      <c r="O35" s="5">
        <f>1500</f>
        <v>1500</v>
      </c>
      <c r="P35" s="5">
        <f t="shared" si="6"/>
        <v>-14596.88</v>
      </c>
      <c r="Q35" s="6">
        <f t="shared" si="7"/>
        <v>-8.7312533333333331</v>
      </c>
      <c r="R35" s="5">
        <f>36942.68</f>
        <v>36942.68</v>
      </c>
      <c r="S35" s="5">
        <f>1500</f>
        <v>1500</v>
      </c>
      <c r="T35" s="5">
        <f t="shared" si="8"/>
        <v>35442.68</v>
      </c>
      <c r="U35" s="6">
        <f t="shared" si="9"/>
        <v>24.628453333333333</v>
      </c>
      <c r="V35" s="5">
        <f>21239.43</f>
        <v>21239.43</v>
      </c>
      <c r="W35" s="5">
        <f>1500</f>
        <v>1500</v>
      </c>
      <c r="X35" s="5">
        <f t="shared" si="10"/>
        <v>19739.43</v>
      </c>
      <c r="Y35" s="6">
        <f t="shared" si="11"/>
        <v>14.15962</v>
      </c>
      <c r="Z35" s="4"/>
      <c r="AA35" s="5">
        <f>1500</f>
        <v>1500</v>
      </c>
      <c r="AB35" s="5">
        <f t="shared" si="12"/>
        <v>-1500</v>
      </c>
      <c r="AC35" s="6">
        <f t="shared" si="13"/>
        <v>0</v>
      </c>
      <c r="AD35" s="4"/>
      <c r="AE35" s="5">
        <f>1500</f>
        <v>1500</v>
      </c>
      <c r="AF35" s="5">
        <f t="shared" si="14"/>
        <v>-1500</v>
      </c>
      <c r="AG35" s="6">
        <f t="shared" si="15"/>
        <v>0</v>
      </c>
      <c r="AH35" s="5">
        <f>12679.01</f>
        <v>12679.01</v>
      </c>
      <c r="AI35" s="5">
        <f>1500</f>
        <v>1500</v>
      </c>
      <c r="AJ35" s="5">
        <f t="shared" si="16"/>
        <v>11179.01</v>
      </c>
      <c r="AK35" s="6">
        <f t="shared" si="17"/>
        <v>8.4526733333333333</v>
      </c>
      <c r="AL35" s="5">
        <f t="shared" si="18"/>
        <v>40695.350000000006</v>
      </c>
      <c r="AM35" s="5">
        <f t="shared" si="19"/>
        <v>13500</v>
      </c>
      <c r="AN35" s="5">
        <f t="shared" si="20"/>
        <v>27195.350000000006</v>
      </c>
      <c r="AO35" s="6">
        <f t="shared" si="21"/>
        <v>3.014470370370371</v>
      </c>
    </row>
    <row r="36" spans="1:41" x14ac:dyDescent="0.25">
      <c r="A36" s="3" t="s">
        <v>43</v>
      </c>
      <c r="B36" s="7">
        <f>(((((B30)+(B31))+(B32))+(B33))+(B34))+(B35)</f>
        <v>16784.3</v>
      </c>
      <c r="C36" s="7">
        <f>(((((C30)+(C31))+(C32))+(C33))+(C34))+(C35)</f>
        <v>3000</v>
      </c>
      <c r="D36" s="7">
        <f t="shared" si="0"/>
        <v>13784.3</v>
      </c>
      <c r="E36" s="8">
        <f t="shared" si="1"/>
        <v>5.5947666666666667</v>
      </c>
      <c r="F36" s="7">
        <f>(((((F30)+(F31))+(F32))+(F33))+(F34))+(F35)</f>
        <v>-11612.66</v>
      </c>
      <c r="G36" s="7">
        <f>(((((G30)+(G31))+(G32))+(G33))+(G34))+(G35)</f>
        <v>3000</v>
      </c>
      <c r="H36" s="7">
        <f t="shared" si="2"/>
        <v>-14612.66</v>
      </c>
      <c r="I36" s="8">
        <f t="shared" si="3"/>
        <v>-3.8708866666666668</v>
      </c>
      <c r="J36" s="7">
        <f>(((((J30)+(J31))+(J32))+(J33))+(J34))+(J35)</f>
        <v>-20563.169999999998</v>
      </c>
      <c r="K36" s="7">
        <f>(((((K30)+(K31))+(K32))+(K33))+(K34))+(K35)</f>
        <v>3000</v>
      </c>
      <c r="L36" s="7">
        <f t="shared" si="4"/>
        <v>-23563.17</v>
      </c>
      <c r="M36" s="8">
        <f t="shared" si="5"/>
        <v>-6.8543899999999995</v>
      </c>
      <c r="N36" s="7">
        <f>(((((N30)+(N31))+(N32))+(N33))+(N34))+(N35)</f>
        <v>-13139.029999999999</v>
      </c>
      <c r="O36" s="7">
        <f>(((((O30)+(O31))+(O32))+(O33))+(O34))+(O35)</f>
        <v>3000</v>
      </c>
      <c r="P36" s="7">
        <f t="shared" si="6"/>
        <v>-16139.029999999999</v>
      </c>
      <c r="Q36" s="8">
        <f t="shared" si="7"/>
        <v>-4.3796766666666667</v>
      </c>
      <c r="R36" s="7">
        <f>(((((R30)+(R31))+(R32))+(R33))+(R34))+(R35)</f>
        <v>39174.6</v>
      </c>
      <c r="S36" s="7">
        <f>(((((S30)+(S31))+(S32))+(S33))+(S34))+(S35)</f>
        <v>3000</v>
      </c>
      <c r="T36" s="7">
        <f t="shared" si="8"/>
        <v>36174.6</v>
      </c>
      <c r="U36" s="8">
        <f t="shared" si="9"/>
        <v>13.058199999999999</v>
      </c>
      <c r="V36" s="7">
        <f>(((((V30)+(V31))+(V32))+(V33))+(V34))+(V35)</f>
        <v>27108.97</v>
      </c>
      <c r="W36" s="7">
        <f>(((((W30)+(W31))+(W32))+(W33))+(W34))+(W35)</f>
        <v>3000</v>
      </c>
      <c r="X36" s="7">
        <f t="shared" si="10"/>
        <v>24108.97</v>
      </c>
      <c r="Y36" s="8">
        <f t="shared" si="11"/>
        <v>9.0363233333333337</v>
      </c>
      <c r="Z36" s="7">
        <f>(((((Z30)+(Z31))+(Z32))+(Z33))+(Z34))+(Z35)</f>
        <v>4.28</v>
      </c>
      <c r="AA36" s="7">
        <f>(((((AA30)+(AA31))+(AA32))+(AA33))+(AA34))+(AA35)</f>
        <v>3000</v>
      </c>
      <c r="AB36" s="7">
        <f t="shared" si="12"/>
        <v>-2995.72</v>
      </c>
      <c r="AC36" s="8">
        <f t="shared" si="13"/>
        <v>1.4266666666666668E-3</v>
      </c>
      <c r="AD36" s="7">
        <f>(((((AD30)+(AD31))+(AD32))+(AD33))+(AD34))+(AD35)</f>
        <v>3.47</v>
      </c>
      <c r="AE36" s="7">
        <f>(((((AE30)+(AE31))+(AE32))+(AE33))+(AE34))+(AE35)</f>
        <v>3000</v>
      </c>
      <c r="AF36" s="7">
        <f t="shared" si="14"/>
        <v>-2996.53</v>
      </c>
      <c r="AG36" s="8">
        <f t="shared" si="15"/>
        <v>1.1566666666666667E-3</v>
      </c>
      <c r="AH36" s="7">
        <f>(((((AH30)+(AH31))+(AH32))+(AH33))+(AH34))+(AH35)</f>
        <v>13665.43</v>
      </c>
      <c r="AI36" s="7">
        <f>(((((AI30)+(AI31))+(AI32))+(AI33))+(AI34))+(AI35)</f>
        <v>3000</v>
      </c>
      <c r="AJ36" s="7">
        <f t="shared" si="16"/>
        <v>10665.43</v>
      </c>
      <c r="AK36" s="8">
        <f t="shared" si="17"/>
        <v>4.5551433333333335</v>
      </c>
      <c r="AL36" s="7">
        <f t="shared" si="18"/>
        <v>51426.19</v>
      </c>
      <c r="AM36" s="7">
        <f t="shared" si="19"/>
        <v>27000</v>
      </c>
      <c r="AN36" s="7">
        <f t="shared" si="20"/>
        <v>24426.190000000002</v>
      </c>
      <c r="AO36" s="8">
        <f t="shared" si="21"/>
        <v>1.9046737037037038</v>
      </c>
    </row>
    <row r="37" spans="1:41" x14ac:dyDescent="0.25">
      <c r="A37" s="3" t="s">
        <v>44</v>
      </c>
      <c r="B37" s="4"/>
      <c r="C37" s="4"/>
      <c r="D37" s="5">
        <f t="shared" si="0"/>
        <v>0</v>
      </c>
      <c r="E37" s="6" t="str">
        <f t="shared" si="1"/>
        <v/>
      </c>
      <c r="F37" s="4"/>
      <c r="G37" s="4"/>
      <c r="H37" s="5">
        <f t="shared" si="2"/>
        <v>0</v>
      </c>
      <c r="I37" s="6" t="str">
        <f t="shared" si="3"/>
        <v/>
      </c>
      <c r="J37" s="4"/>
      <c r="K37" s="4"/>
      <c r="L37" s="5">
        <f t="shared" si="4"/>
        <v>0</v>
      </c>
      <c r="M37" s="6" t="str">
        <f t="shared" si="5"/>
        <v/>
      </c>
      <c r="N37" s="4"/>
      <c r="O37" s="4"/>
      <c r="P37" s="5">
        <f t="shared" si="6"/>
        <v>0</v>
      </c>
      <c r="Q37" s="6" t="str">
        <f t="shared" si="7"/>
        <v/>
      </c>
      <c r="R37" s="4"/>
      <c r="S37" s="4"/>
      <c r="T37" s="5">
        <f t="shared" si="8"/>
        <v>0</v>
      </c>
      <c r="U37" s="6" t="str">
        <f t="shared" si="9"/>
        <v/>
      </c>
      <c r="V37" s="4"/>
      <c r="W37" s="4"/>
      <c r="X37" s="5">
        <f t="shared" si="10"/>
        <v>0</v>
      </c>
      <c r="Y37" s="6" t="str">
        <f t="shared" si="11"/>
        <v/>
      </c>
      <c r="Z37" s="4"/>
      <c r="AA37" s="4"/>
      <c r="AB37" s="5">
        <f t="shared" si="12"/>
        <v>0</v>
      </c>
      <c r="AC37" s="6" t="str">
        <f t="shared" si="13"/>
        <v/>
      </c>
      <c r="AD37" s="4"/>
      <c r="AE37" s="4"/>
      <c r="AF37" s="5">
        <f t="shared" si="14"/>
        <v>0</v>
      </c>
      <c r="AG37" s="6" t="str">
        <f t="shared" si="15"/>
        <v/>
      </c>
      <c r="AH37" s="4"/>
      <c r="AI37" s="4"/>
      <c r="AJ37" s="5">
        <f t="shared" si="16"/>
        <v>0</v>
      </c>
      <c r="AK37" s="6" t="str">
        <f t="shared" si="17"/>
        <v/>
      </c>
      <c r="AL37" s="5">
        <f t="shared" si="18"/>
        <v>0</v>
      </c>
      <c r="AM37" s="5">
        <f t="shared" si="19"/>
        <v>0</v>
      </c>
      <c r="AN37" s="5">
        <f t="shared" si="20"/>
        <v>0</v>
      </c>
      <c r="AO37" s="6" t="str">
        <f t="shared" si="21"/>
        <v/>
      </c>
    </row>
    <row r="38" spans="1:41" x14ac:dyDescent="0.25">
      <c r="A38" s="3" t="s">
        <v>45</v>
      </c>
      <c r="B38" s="4"/>
      <c r="C38" s="5">
        <f>0</f>
        <v>0</v>
      </c>
      <c r="D38" s="5">
        <f t="shared" si="0"/>
        <v>0</v>
      </c>
      <c r="E38" s="6" t="str">
        <f t="shared" si="1"/>
        <v/>
      </c>
      <c r="F38" s="4"/>
      <c r="G38" s="5">
        <f>0</f>
        <v>0</v>
      </c>
      <c r="H38" s="5">
        <f t="shared" si="2"/>
        <v>0</v>
      </c>
      <c r="I38" s="6" t="str">
        <f t="shared" si="3"/>
        <v/>
      </c>
      <c r="J38" s="4"/>
      <c r="K38" s="5">
        <f>0</f>
        <v>0</v>
      </c>
      <c r="L38" s="5">
        <f t="shared" si="4"/>
        <v>0</v>
      </c>
      <c r="M38" s="6" t="str">
        <f t="shared" si="5"/>
        <v/>
      </c>
      <c r="N38" s="4"/>
      <c r="O38" s="5">
        <f>0</f>
        <v>0</v>
      </c>
      <c r="P38" s="5">
        <f t="shared" si="6"/>
        <v>0</v>
      </c>
      <c r="Q38" s="6" t="str">
        <f t="shared" si="7"/>
        <v/>
      </c>
      <c r="R38" s="4"/>
      <c r="S38" s="5">
        <f>0</f>
        <v>0</v>
      </c>
      <c r="T38" s="5">
        <f t="shared" si="8"/>
        <v>0</v>
      </c>
      <c r="U38" s="6" t="str">
        <f t="shared" si="9"/>
        <v/>
      </c>
      <c r="V38" s="5">
        <f>2100</f>
        <v>2100</v>
      </c>
      <c r="W38" s="5">
        <f>3000</f>
        <v>3000</v>
      </c>
      <c r="X38" s="5">
        <f t="shared" si="10"/>
        <v>-900</v>
      </c>
      <c r="Y38" s="6">
        <f t="shared" si="11"/>
        <v>0.7</v>
      </c>
      <c r="Z38" s="4"/>
      <c r="AA38" s="5">
        <f>0</f>
        <v>0</v>
      </c>
      <c r="AB38" s="5">
        <f t="shared" si="12"/>
        <v>0</v>
      </c>
      <c r="AC38" s="6" t="str">
        <f t="shared" si="13"/>
        <v/>
      </c>
      <c r="AD38" s="4"/>
      <c r="AE38" s="5">
        <f>0</f>
        <v>0</v>
      </c>
      <c r="AF38" s="5">
        <f t="shared" si="14"/>
        <v>0</v>
      </c>
      <c r="AG38" s="6" t="str">
        <f t="shared" si="15"/>
        <v/>
      </c>
      <c r="AH38" s="5">
        <f>1000</f>
        <v>1000</v>
      </c>
      <c r="AI38" s="5">
        <f>0</f>
        <v>0</v>
      </c>
      <c r="AJ38" s="5">
        <f t="shared" si="16"/>
        <v>1000</v>
      </c>
      <c r="AK38" s="6" t="str">
        <f t="shared" si="17"/>
        <v/>
      </c>
      <c r="AL38" s="5">
        <f t="shared" si="18"/>
        <v>3100</v>
      </c>
      <c r="AM38" s="5">
        <f t="shared" si="19"/>
        <v>3000</v>
      </c>
      <c r="AN38" s="5">
        <f t="shared" si="20"/>
        <v>100</v>
      </c>
      <c r="AO38" s="6">
        <f t="shared" si="21"/>
        <v>1.0333333333333334</v>
      </c>
    </row>
    <row r="39" spans="1:41" x14ac:dyDescent="0.25">
      <c r="A39" s="3" t="s">
        <v>46</v>
      </c>
      <c r="B39" s="4"/>
      <c r="C39" s="5">
        <f>0</f>
        <v>0</v>
      </c>
      <c r="D39" s="5">
        <f t="shared" si="0"/>
        <v>0</v>
      </c>
      <c r="E39" s="6" t="str">
        <f t="shared" si="1"/>
        <v/>
      </c>
      <c r="F39" s="4"/>
      <c r="G39" s="5">
        <f>0</f>
        <v>0</v>
      </c>
      <c r="H39" s="5">
        <f t="shared" si="2"/>
        <v>0</v>
      </c>
      <c r="I39" s="6" t="str">
        <f t="shared" si="3"/>
        <v/>
      </c>
      <c r="J39" s="4"/>
      <c r="K39" s="5">
        <f>0</f>
        <v>0</v>
      </c>
      <c r="L39" s="5">
        <f t="shared" si="4"/>
        <v>0</v>
      </c>
      <c r="M39" s="6" t="str">
        <f t="shared" si="5"/>
        <v/>
      </c>
      <c r="N39" s="4"/>
      <c r="O39" s="5">
        <f>0</f>
        <v>0</v>
      </c>
      <c r="P39" s="5">
        <f t="shared" si="6"/>
        <v>0</v>
      </c>
      <c r="Q39" s="6" t="str">
        <f t="shared" si="7"/>
        <v/>
      </c>
      <c r="R39" s="4"/>
      <c r="S39" s="5">
        <f>10000</f>
        <v>10000</v>
      </c>
      <c r="T39" s="5">
        <f t="shared" si="8"/>
        <v>-10000</v>
      </c>
      <c r="U39" s="6">
        <f t="shared" si="9"/>
        <v>0</v>
      </c>
      <c r="V39" s="4"/>
      <c r="W39" s="5">
        <f>0</f>
        <v>0</v>
      </c>
      <c r="X39" s="5">
        <f t="shared" si="10"/>
        <v>0</v>
      </c>
      <c r="Y39" s="6" t="str">
        <f t="shared" si="11"/>
        <v/>
      </c>
      <c r="Z39" s="4"/>
      <c r="AA39" s="5">
        <f>0</f>
        <v>0</v>
      </c>
      <c r="AB39" s="5">
        <f t="shared" si="12"/>
        <v>0</v>
      </c>
      <c r="AC39" s="6" t="str">
        <f t="shared" si="13"/>
        <v/>
      </c>
      <c r="AD39" s="4"/>
      <c r="AE39" s="5">
        <f>0</f>
        <v>0</v>
      </c>
      <c r="AF39" s="5">
        <f t="shared" si="14"/>
        <v>0</v>
      </c>
      <c r="AG39" s="6" t="str">
        <f t="shared" si="15"/>
        <v/>
      </c>
      <c r="AH39" s="4"/>
      <c r="AI39" s="5">
        <f>0</f>
        <v>0</v>
      </c>
      <c r="AJ39" s="5">
        <f t="shared" si="16"/>
        <v>0</v>
      </c>
      <c r="AK39" s="6" t="str">
        <f t="shared" si="17"/>
        <v/>
      </c>
      <c r="AL39" s="5">
        <f t="shared" si="18"/>
        <v>0</v>
      </c>
      <c r="AM39" s="5">
        <f t="shared" si="19"/>
        <v>10000</v>
      </c>
      <c r="AN39" s="5">
        <f t="shared" si="20"/>
        <v>-10000</v>
      </c>
      <c r="AO39" s="6">
        <f t="shared" si="21"/>
        <v>0</v>
      </c>
    </row>
    <row r="40" spans="1:41" x14ac:dyDescent="0.25">
      <c r="A40" s="3" t="s">
        <v>47</v>
      </c>
      <c r="B40" s="7">
        <f>((B37)+(B38))+(B39)</f>
        <v>0</v>
      </c>
      <c r="C40" s="7">
        <f>((C37)+(C38))+(C39)</f>
        <v>0</v>
      </c>
      <c r="D40" s="7">
        <f t="shared" si="0"/>
        <v>0</v>
      </c>
      <c r="E40" s="8" t="str">
        <f t="shared" si="1"/>
        <v/>
      </c>
      <c r="F40" s="7">
        <f>((F37)+(F38))+(F39)</f>
        <v>0</v>
      </c>
      <c r="G40" s="7">
        <f>((G37)+(G38))+(G39)</f>
        <v>0</v>
      </c>
      <c r="H40" s="7">
        <f t="shared" si="2"/>
        <v>0</v>
      </c>
      <c r="I40" s="8" t="str">
        <f t="shared" si="3"/>
        <v/>
      </c>
      <c r="J40" s="7">
        <f>((J37)+(J38))+(J39)</f>
        <v>0</v>
      </c>
      <c r="K40" s="7">
        <f>((K37)+(K38))+(K39)</f>
        <v>0</v>
      </c>
      <c r="L40" s="7">
        <f t="shared" si="4"/>
        <v>0</v>
      </c>
      <c r="M40" s="8" t="str">
        <f t="shared" si="5"/>
        <v/>
      </c>
      <c r="N40" s="7">
        <f>((N37)+(N38))+(N39)</f>
        <v>0</v>
      </c>
      <c r="O40" s="7">
        <f>((O37)+(O38))+(O39)</f>
        <v>0</v>
      </c>
      <c r="P40" s="7">
        <f t="shared" si="6"/>
        <v>0</v>
      </c>
      <c r="Q40" s="8" t="str">
        <f t="shared" si="7"/>
        <v/>
      </c>
      <c r="R40" s="7">
        <f>((R37)+(R38))+(R39)</f>
        <v>0</v>
      </c>
      <c r="S40" s="7">
        <f>((S37)+(S38))+(S39)</f>
        <v>10000</v>
      </c>
      <c r="T40" s="7">
        <f t="shared" si="8"/>
        <v>-10000</v>
      </c>
      <c r="U40" s="8">
        <f t="shared" si="9"/>
        <v>0</v>
      </c>
      <c r="V40" s="7">
        <f>((V37)+(V38))+(V39)</f>
        <v>2100</v>
      </c>
      <c r="W40" s="7">
        <f>((W37)+(W38))+(W39)</f>
        <v>3000</v>
      </c>
      <c r="X40" s="7">
        <f t="shared" si="10"/>
        <v>-900</v>
      </c>
      <c r="Y40" s="8">
        <f t="shared" si="11"/>
        <v>0.7</v>
      </c>
      <c r="Z40" s="7">
        <f>((Z37)+(Z38))+(Z39)</f>
        <v>0</v>
      </c>
      <c r="AA40" s="7">
        <f>((AA37)+(AA38))+(AA39)</f>
        <v>0</v>
      </c>
      <c r="AB40" s="7">
        <f t="shared" si="12"/>
        <v>0</v>
      </c>
      <c r="AC40" s="8" t="str">
        <f t="shared" si="13"/>
        <v/>
      </c>
      <c r="AD40" s="7">
        <f>((AD37)+(AD38))+(AD39)</f>
        <v>0</v>
      </c>
      <c r="AE40" s="7">
        <f>((AE37)+(AE38))+(AE39)</f>
        <v>0</v>
      </c>
      <c r="AF40" s="7">
        <f t="shared" si="14"/>
        <v>0</v>
      </c>
      <c r="AG40" s="8" t="str">
        <f t="shared" si="15"/>
        <v/>
      </c>
      <c r="AH40" s="7">
        <f>((AH37)+(AH38))+(AH39)</f>
        <v>1000</v>
      </c>
      <c r="AI40" s="7">
        <f>((AI37)+(AI38))+(AI39)</f>
        <v>0</v>
      </c>
      <c r="AJ40" s="7">
        <f t="shared" si="16"/>
        <v>1000</v>
      </c>
      <c r="AK40" s="8" t="str">
        <f t="shared" si="17"/>
        <v/>
      </c>
      <c r="AL40" s="7">
        <f t="shared" si="18"/>
        <v>3100</v>
      </c>
      <c r="AM40" s="7">
        <f t="shared" si="19"/>
        <v>13000</v>
      </c>
      <c r="AN40" s="7">
        <f t="shared" si="20"/>
        <v>-9900</v>
      </c>
      <c r="AO40" s="8">
        <f t="shared" si="21"/>
        <v>0.23846153846153847</v>
      </c>
    </row>
    <row r="41" spans="1:41" x14ac:dyDescent="0.25">
      <c r="A41" s="3" t="s">
        <v>48</v>
      </c>
      <c r="B41" s="4"/>
      <c r="C41" s="4"/>
      <c r="D41" s="5">
        <f t="shared" si="0"/>
        <v>0</v>
      </c>
      <c r="E41" s="6" t="str">
        <f t="shared" si="1"/>
        <v/>
      </c>
      <c r="F41" s="4"/>
      <c r="G41" s="4"/>
      <c r="H41" s="5">
        <f t="shared" si="2"/>
        <v>0</v>
      </c>
      <c r="I41" s="6" t="str">
        <f t="shared" si="3"/>
        <v/>
      </c>
      <c r="J41" s="4"/>
      <c r="K41" s="4"/>
      <c r="L41" s="5">
        <f t="shared" si="4"/>
        <v>0</v>
      </c>
      <c r="M41" s="6" t="str">
        <f t="shared" si="5"/>
        <v/>
      </c>
      <c r="N41" s="4"/>
      <c r="O41" s="4"/>
      <c r="P41" s="5">
        <f t="shared" si="6"/>
        <v>0</v>
      </c>
      <c r="Q41" s="6" t="str">
        <f t="shared" si="7"/>
        <v/>
      </c>
      <c r="R41" s="4"/>
      <c r="S41" s="4"/>
      <c r="T41" s="5">
        <f t="shared" si="8"/>
        <v>0</v>
      </c>
      <c r="U41" s="6" t="str">
        <f t="shared" si="9"/>
        <v/>
      </c>
      <c r="V41" s="4"/>
      <c r="W41" s="4"/>
      <c r="X41" s="5">
        <f t="shared" si="10"/>
        <v>0</v>
      </c>
      <c r="Y41" s="6" t="str">
        <f t="shared" si="11"/>
        <v/>
      </c>
      <c r="Z41" s="4"/>
      <c r="AA41" s="4"/>
      <c r="AB41" s="5">
        <f t="shared" si="12"/>
        <v>0</v>
      </c>
      <c r="AC41" s="6" t="str">
        <f t="shared" si="13"/>
        <v/>
      </c>
      <c r="AD41" s="4"/>
      <c r="AE41" s="4"/>
      <c r="AF41" s="5">
        <f t="shared" si="14"/>
        <v>0</v>
      </c>
      <c r="AG41" s="6" t="str">
        <f t="shared" si="15"/>
        <v/>
      </c>
      <c r="AH41" s="4"/>
      <c r="AI41" s="4"/>
      <c r="AJ41" s="5">
        <f t="shared" si="16"/>
        <v>0</v>
      </c>
      <c r="AK41" s="6" t="str">
        <f t="shared" si="17"/>
        <v/>
      </c>
      <c r="AL41" s="5">
        <f t="shared" si="18"/>
        <v>0</v>
      </c>
      <c r="AM41" s="5">
        <f t="shared" si="19"/>
        <v>0</v>
      </c>
      <c r="AN41" s="5">
        <f t="shared" si="20"/>
        <v>0</v>
      </c>
      <c r="AO41" s="6" t="str">
        <f t="shared" si="21"/>
        <v/>
      </c>
    </row>
    <row r="42" spans="1:41" x14ac:dyDescent="0.25">
      <c r="A42" s="3" t="s">
        <v>49</v>
      </c>
      <c r="B42" s="5">
        <f>0.79</f>
        <v>0.79</v>
      </c>
      <c r="C42" s="4"/>
      <c r="D42" s="5">
        <f t="shared" si="0"/>
        <v>0.79</v>
      </c>
      <c r="E42" s="6" t="str">
        <f t="shared" si="1"/>
        <v/>
      </c>
      <c r="F42" s="4"/>
      <c r="G42" s="4"/>
      <c r="H42" s="5">
        <f t="shared" si="2"/>
        <v>0</v>
      </c>
      <c r="I42" s="6" t="str">
        <f t="shared" si="3"/>
        <v/>
      </c>
      <c r="J42" s="5">
        <f>1919.87</f>
        <v>1919.87</v>
      </c>
      <c r="K42" s="4"/>
      <c r="L42" s="5">
        <f t="shared" si="4"/>
        <v>1919.87</v>
      </c>
      <c r="M42" s="6" t="str">
        <f t="shared" si="5"/>
        <v/>
      </c>
      <c r="N42" s="5">
        <f>2310.84</f>
        <v>2310.84</v>
      </c>
      <c r="O42" s="4"/>
      <c r="P42" s="5">
        <f t="shared" si="6"/>
        <v>2310.84</v>
      </c>
      <c r="Q42" s="6" t="str">
        <f t="shared" si="7"/>
        <v/>
      </c>
      <c r="R42" s="4"/>
      <c r="S42" s="4"/>
      <c r="T42" s="5">
        <f t="shared" si="8"/>
        <v>0</v>
      </c>
      <c r="U42" s="6" t="str">
        <f t="shared" si="9"/>
        <v/>
      </c>
      <c r="V42" s="4"/>
      <c r="W42" s="4"/>
      <c r="X42" s="5">
        <f t="shared" si="10"/>
        <v>0</v>
      </c>
      <c r="Y42" s="6" t="str">
        <f t="shared" si="11"/>
        <v/>
      </c>
      <c r="Z42" s="4"/>
      <c r="AA42" s="4"/>
      <c r="AB42" s="5">
        <f t="shared" si="12"/>
        <v>0</v>
      </c>
      <c r="AC42" s="6" t="str">
        <f t="shared" si="13"/>
        <v/>
      </c>
      <c r="AD42" s="4"/>
      <c r="AE42" s="4"/>
      <c r="AF42" s="5">
        <f t="shared" si="14"/>
        <v>0</v>
      </c>
      <c r="AG42" s="6" t="str">
        <f t="shared" si="15"/>
        <v/>
      </c>
      <c r="AH42" s="4"/>
      <c r="AI42" s="4"/>
      <c r="AJ42" s="5">
        <f t="shared" si="16"/>
        <v>0</v>
      </c>
      <c r="AK42" s="6" t="str">
        <f t="shared" si="17"/>
        <v/>
      </c>
      <c r="AL42" s="5">
        <f t="shared" si="18"/>
        <v>4231.5</v>
      </c>
      <c r="AM42" s="5">
        <f t="shared" si="19"/>
        <v>0</v>
      </c>
      <c r="AN42" s="5">
        <f t="shared" si="20"/>
        <v>4231.5</v>
      </c>
      <c r="AO42" s="6" t="str">
        <f t="shared" si="21"/>
        <v/>
      </c>
    </row>
    <row r="43" spans="1:41" x14ac:dyDescent="0.25">
      <c r="A43" s="3" t="s">
        <v>50</v>
      </c>
      <c r="B43" s="4"/>
      <c r="C43" s="5">
        <f>0</f>
        <v>0</v>
      </c>
      <c r="D43" s="5">
        <f t="shared" si="0"/>
        <v>0</v>
      </c>
      <c r="E43" s="6" t="str">
        <f t="shared" si="1"/>
        <v/>
      </c>
      <c r="F43" s="4"/>
      <c r="G43" s="5">
        <f>0</f>
        <v>0</v>
      </c>
      <c r="H43" s="5">
        <f t="shared" si="2"/>
        <v>0</v>
      </c>
      <c r="I43" s="6" t="str">
        <f t="shared" si="3"/>
        <v/>
      </c>
      <c r="J43" s="4"/>
      <c r="K43" s="5">
        <f>0</f>
        <v>0</v>
      </c>
      <c r="L43" s="5">
        <f t="shared" si="4"/>
        <v>0</v>
      </c>
      <c r="M43" s="6" t="str">
        <f t="shared" si="5"/>
        <v/>
      </c>
      <c r="N43" s="4"/>
      <c r="O43" s="5">
        <f>0</f>
        <v>0</v>
      </c>
      <c r="P43" s="5">
        <f t="shared" si="6"/>
        <v>0</v>
      </c>
      <c r="Q43" s="6" t="str">
        <f t="shared" si="7"/>
        <v/>
      </c>
      <c r="R43" s="4"/>
      <c r="S43" s="5">
        <f>0</f>
        <v>0</v>
      </c>
      <c r="T43" s="5">
        <f t="shared" si="8"/>
        <v>0</v>
      </c>
      <c r="U43" s="6" t="str">
        <f t="shared" si="9"/>
        <v/>
      </c>
      <c r="V43" s="4"/>
      <c r="W43" s="5">
        <f>0</f>
        <v>0</v>
      </c>
      <c r="X43" s="5">
        <f t="shared" si="10"/>
        <v>0</v>
      </c>
      <c r="Y43" s="6" t="str">
        <f t="shared" si="11"/>
        <v/>
      </c>
      <c r="Z43" s="4"/>
      <c r="AA43" s="5">
        <f>0</f>
        <v>0</v>
      </c>
      <c r="AB43" s="5">
        <f t="shared" si="12"/>
        <v>0</v>
      </c>
      <c r="AC43" s="6" t="str">
        <f t="shared" si="13"/>
        <v/>
      </c>
      <c r="AD43" s="4"/>
      <c r="AE43" s="5">
        <f>0</f>
        <v>0</v>
      </c>
      <c r="AF43" s="5">
        <f t="shared" si="14"/>
        <v>0</v>
      </c>
      <c r="AG43" s="6" t="str">
        <f t="shared" si="15"/>
        <v/>
      </c>
      <c r="AH43" s="4"/>
      <c r="AI43" s="5">
        <f>0</f>
        <v>0</v>
      </c>
      <c r="AJ43" s="5">
        <f t="shared" si="16"/>
        <v>0</v>
      </c>
      <c r="AK43" s="6" t="str">
        <f t="shared" si="17"/>
        <v/>
      </c>
      <c r="AL43" s="5">
        <f t="shared" si="18"/>
        <v>0</v>
      </c>
      <c r="AM43" s="5">
        <f t="shared" si="19"/>
        <v>0</v>
      </c>
      <c r="AN43" s="5">
        <f t="shared" si="20"/>
        <v>0</v>
      </c>
      <c r="AO43" s="6" t="str">
        <f t="shared" si="21"/>
        <v/>
      </c>
    </row>
    <row r="44" spans="1:41" x14ac:dyDescent="0.25">
      <c r="A44" s="3" t="s">
        <v>51</v>
      </c>
      <c r="B44" s="5">
        <f>53141.85</f>
        <v>53141.85</v>
      </c>
      <c r="C44" s="5">
        <f>91000</f>
        <v>91000</v>
      </c>
      <c r="D44" s="5">
        <f t="shared" si="0"/>
        <v>-37858.15</v>
      </c>
      <c r="E44" s="6">
        <f t="shared" si="1"/>
        <v>0.58397637362637356</v>
      </c>
      <c r="F44" s="5">
        <f>26167.08</f>
        <v>26167.08</v>
      </c>
      <c r="G44" s="5">
        <f>63550</f>
        <v>63550</v>
      </c>
      <c r="H44" s="5">
        <f t="shared" si="2"/>
        <v>-37382.92</v>
      </c>
      <c r="I44" s="6">
        <f t="shared" si="3"/>
        <v>0.41175578284815106</v>
      </c>
      <c r="J44" s="5">
        <f>6625</f>
        <v>6625</v>
      </c>
      <c r="K44" s="5">
        <f>0</f>
        <v>0</v>
      </c>
      <c r="L44" s="5">
        <f t="shared" si="4"/>
        <v>6625</v>
      </c>
      <c r="M44" s="6" t="str">
        <f t="shared" si="5"/>
        <v/>
      </c>
      <c r="N44" s="4"/>
      <c r="O44" s="5">
        <f>0</f>
        <v>0</v>
      </c>
      <c r="P44" s="5">
        <f t="shared" si="6"/>
        <v>0</v>
      </c>
      <c r="Q44" s="6" t="str">
        <f t="shared" si="7"/>
        <v/>
      </c>
      <c r="R44" s="4"/>
      <c r="S44" s="5">
        <f>0</f>
        <v>0</v>
      </c>
      <c r="T44" s="5">
        <f t="shared" si="8"/>
        <v>0</v>
      </c>
      <c r="U44" s="6" t="str">
        <f t="shared" si="9"/>
        <v/>
      </c>
      <c r="V44" s="5">
        <f>2500</f>
        <v>2500</v>
      </c>
      <c r="W44" s="5">
        <f>0</f>
        <v>0</v>
      </c>
      <c r="X44" s="5">
        <f t="shared" si="10"/>
        <v>2500</v>
      </c>
      <c r="Y44" s="6" t="str">
        <f t="shared" si="11"/>
        <v/>
      </c>
      <c r="Z44" s="4"/>
      <c r="AA44" s="5">
        <f>10000</f>
        <v>10000</v>
      </c>
      <c r="AB44" s="5">
        <f t="shared" si="12"/>
        <v>-10000</v>
      </c>
      <c r="AC44" s="6">
        <f t="shared" si="13"/>
        <v>0</v>
      </c>
      <c r="AD44" s="4"/>
      <c r="AE44" s="5">
        <f>0</f>
        <v>0</v>
      </c>
      <c r="AF44" s="5">
        <f t="shared" si="14"/>
        <v>0</v>
      </c>
      <c r="AG44" s="6" t="str">
        <f t="shared" si="15"/>
        <v/>
      </c>
      <c r="AH44" s="4"/>
      <c r="AI44" s="5">
        <f>0</f>
        <v>0</v>
      </c>
      <c r="AJ44" s="5">
        <f t="shared" si="16"/>
        <v>0</v>
      </c>
      <c r="AK44" s="6" t="str">
        <f t="shared" si="17"/>
        <v/>
      </c>
      <c r="AL44" s="5">
        <f t="shared" si="18"/>
        <v>88433.93</v>
      </c>
      <c r="AM44" s="5">
        <f t="shared" si="19"/>
        <v>164550</v>
      </c>
      <c r="AN44" s="5">
        <f t="shared" si="20"/>
        <v>-76116.070000000007</v>
      </c>
      <c r="AO44" s="6">
        <f t="shared" si="21"/>
        <v>0.53742892737769665</v>
      </c>
    </row>
    <row r="45" spans="1:41" x14ac:dyDescent="0.25">
      <c r="A45" s="3" t="s">
        <v>52</v>
      </c>
      <c r="B45" s="4"/>
      <c r="C45" s="5">
        <f>0</f>
        <v>0</v>
      </c>
      <c r="D45" s="5">
        <f t="shared" si="0"/>
        <v>0</v>
      </c>
      <c r="E45" s="6" t="str">
        <f t="shared" si="1"/>
        <v/>
      </c>
      <c r="F45" s="4"/>
      <c r="G45" s="5">
        <f>0</f>
        <v>0</v>
      </c>
      <c r="H45" s="5">
        <f t="shared" si="2"/>
        <v>0</v>
      </c>
      <c r="I45" s="6" t="str">
        <f t="shared" si="3"/>
        <v/>
      </c>
      <c r="J45" s="4"/>
      <c r="K45" s="5">
        <f>0</f>
        <v>0</v>
      </c>
      <c r="L45" s="5">
        <f t="shared" si="4"/>
        <v>0</v>
      </c>
      <c r="M45" s="6" t="str">
        <f t="shared" si="5"/>
        <v/>
      </c>
      <c r="N45" s="4"/>
      <c r="O45" s="5">
        <f>0</f>
        <v>0</v>
      </c>
      <c r="P45" s="5">
        <f t="shared" si="6"/>
        <v>0</v>
      </c>
      <c r="Q45" s="6" t="str">
        <f t="shared" si="7"/>
        <v/>
      </c>
      <c r="R45" s="4"/>
      <c r="S45" s="5">
        <f>0</f>
        <v>0</v>
      </c>
      <c r="T45" s="5">
        <f t="shared" si="8"/>
        <v>0</v>
      </c>
      <c r="U45" s="6" t="str">
        <f t="shared" si="9"/>
        <v/>
      </c>
      <c r="V45" s="4"/>
      <c r="W45" s="5">
        <f>5000</f>
        <v>5000</v>
      </c>
      <c r="X45" s="5">
        <f t="shared" si="10"/>
        <v>-5000</v>
      </c>
      <c r="Y45" s="6">
        <f t="shared" si="11"/>
        <v>0</v>
      </c>
      <c r="Z45" s="4"/>
      <c r="AA45" s="5">
        <f>0</f>
        <v>0</v>
      </c>
      <c r="AB45" s="5">
        <f t="shared" si="12"/>
        <v>0</v>
      </c>
      <c r="AC45" s="6" t="str">
        <f t="shared" si="13"/>
        <v/>
      </c>
      <c r="AD45" s="4"/>
      <c r="AE45" s="5">
        <f>0</f>
        <v>0</v>
      </c>
      <c r="AF45" s="5">
        <f t="shared" si="14"/>
        <v>0</v>
      </c>
      <c r="AG45" s="6" t="str">
        <f t="shared" si="15"/>
        <v/>
      </c>
      <c r="AH45" s="4"/>
      <c r="AI45" s="5">
        <f>0</f>
        <v>0</v>
      </c>
      <c r="AJ45" s="5">
        <f t="shared" si="16"/>
        <v>0</v>
      </c>
      <c r="AK45" s="6" t="str">
        <f t="shared" si="17"/>
        <v/>
      </c>
      <c r="AL45" s="5">
        <f t="shared" si="18"/>
        <v>0</v>
      </c>
      <c r="AM45" s="5">
        <f t="shared" si="19"/>
        <v>5000</v>
      </c>
      <c r="AN45" s="5">
        <f t="shared" si="20"/>
        <v>-5000</v>
      </c>
      <c r="AO45" s="6">
        <f t="shared" si="21"/>
        <v>0</v>
      </c>
    </row>
    <row r="46" spans="1:41" x14ac:dyDescent="0.25">
      <c r="A46" s="3" t="s">
        <v>53</v>
      </c>
      <c r="B46" s="5">
        <f>2174.18</f>
        <v>2174.1799999999998</v>
      </c>
      <c r="C46" s="5">
        <f>0</f>
        <v>0</v>
      </c>
      <c r="D46" s="5">
        <f t="shared" si="0"/>
        <v>2174.1799999999998</v>
      </c>
      <c r="E46" s="6" t="str">
        <f t="shared" si="1"/>
        <v/>
      </c>
      <c r="F46" s="5">
        <f>2773.43</f>
        <v>2773.43</v>
      </c>
      <c r="G46" s="5">
        <f>0</f>
        <v>0</v>
      </c>
      <c r="H46" s="5">
        <f t="shared" si="2"/>
        <v>2773.43</v>
      </c>
      <c r="I46" s="6" t="str">
        <f t="shared" si="3"/>
        <v/>
      </c>
      <c r="J46" s="5">
        <f>9351.1</f>
        <v>9351.1</v>
      </c>
      <c r="K46" s="5">
        <f>73150</f>
        <v>73150</v>
      </c>
      <c r="L46" s="5">
        <f t="shared" si="4"/>
        <v>-63798.9</v>
      </c>
      <c r="M46" s="6">
        <f t="shared" si="5"/>
        <v>0.12783458646616541</v>
      </c>
      <c r="N46" s="5">
        <f>29597.79</f>
        <v>29597.79</v>
      </c>
      <c r="O46" s="5">
        <f>0</f>
        <v>0</v>
      </c>
      <c r="P46" s="5">
        <f t="shared" si="6"/>
        <v>29597.79</v>
      </c>
      <c r="Q46" s="6" t="str">
        <f t="shared" si="7"/>
        <v/>
      </c>
      <c r="R46" s="4"/>
      <c r="S46" s="5">
        <f>0</f>
        <v>0</v>
      </c>
      <c r="T46" s="5">
        <f t="shared" si="8"/>
        <v>0</v>
      </c>
      <c r="U46" s="6" t="str">
        <f t="shared" si="9"/>
        <v/>
      </c>
      <c r="V46" s="4"/>
      <c r="W46" s="5">
        <f>0</f>
        <v>0</v>
      </c>
      <c r="X46" s="5">
        <f t="shared" si="10"/>
        <v>0</v>
      </c>
      <c r="Y46" s="6" t="str">
        <f t="shared" si="11"/>
        <v/>
      </c>
      <c r="Z46" s="5">
        <f>-135.59</f>
        <v>-135.59</v>
      </c>
      <c r="AA46" s="5">
        <f>0</f>
        <v>0</v>
      </c>
      <c r="AB46" s="5">
        <f t="shared" si="12"/>
        <v>-135.59</v>
      </c>
      <c r="AC46" s="6" t="str">
        <f t="shared" si="13"/>
        <v/>
      </c>
      <c r="AD46" s="4"/>
      <c r="AE46" s="5">
        <f>0</f>
        <v>0</v>
      </c>
      <c r="AF46" s="5">
        <f t="shared" si="14"/>
        <v>0</v>
      </c>
      <c r="AG46" s="6" t="str">
        <f t="shared" si="15"/>
        <v/>
      </c>
      <c r="AH46" s="4"/>
      <c r="AI46" s="5">
        <f>0</f>
        <v>0</v>
      </c>
      <c r="AJ46" s="5">
        <f t="shared" si="16"/>
        <v>0</v>
      </c>
      <c r="AK46" s="6" t="str">
        <f t="shared" si="17"/>
        <v/>
      </c>
      <c r="AL46" s="5">
        <f t="shared" si="18"/>
        <v>43760.91</v>
      </c>
      <c r="AM46" s="5">
        <f t="shared" si="19"/>
        <v>73150</v>
      </c>
      <c r="AN46" s="5">
        <f t="shared" si="20"/>
        <v>-29389.089999999997</v>
      </c>
      <c r="AO46" s="6">
        <f t="shared" si="21"/>
        <v>0.59823526999316479</v>
      </c>
    </row>
    <row r="47" spans="1:41" x14ac:dyDescent="0.25">
      <c r="A47" s="3" t="s">
        <v>54</v>
      </c>
      <c r="B47" s="4"/>
      <c r="C47" s="4"/>
      <c r="D47" s="5">
        <f t="shared" si="0"/>
        <v>0</v>
      </c>
      <c r="E47" s="6" t="str">
        <f t="shared" si="1"/>
        <v/>
      </c>
      <c r="F47" s="4"/>
      <c r="G47" s="4"/>
      <c r="H47" s="5">
        <f t="shared" si="2"/>
        <v>0</v>
      </c>
      <c r="I47" s="6" t="str">
        <f t="shared" si="3"/>
        <v/>
      </c>
      <c r="J47" s="4"/>
      <c r="K47" s="4"/>
      <c r="L47" s="5">
        <f t="shared" si="4"/>
        <v>0</v>
      </c>
      <c r="M47" s="6" t="str">
        <f t="shared" si="5"/>
        <v/>
      </c>
      <c r="N47" s="5">
        <f>272.32</f>
        <v>272.32</v>
      </c>
      <c r="O47" s="4"/>
      <c r="P47" s="5">
        <f t="shared" si="6"/>
        <v>272.32</v>
      </c>
      <c r="Q47" s="6" t="str">
        <f t="shared" si="7"/>
        <v/>
      </c>
      <c r="R47" s="5">
        <f>1137.69</f>
        <v>1137.69</v>
      </c>
      <c r="S47" s="4"/>
      <c r="T47" s="5">
        <f t="shared" si="8"/>
        <v>1137.69</v>
      </c>
      <c r="U47" s="6" t="str">
        <f t="shared" si="9"/>
        <v/>
      </c>
      <c r="V47" s="4"/>
      <c r="W47" s="4"/>
      <c r="X47" s="5">
        <f t="shared" si="10"/>
        <v>0</v>
      </c>
      <c r="Y47" s="6" t="str">
        <f t="shared" si="11"/>
        <v/>
      </c>
      <c r="Z47" s="4"/>
      <c r="AA47" s="4"/>
      <c r="AB47" s="5">
        <f t="shared" si="12"/>
        <v>0</v>
      </c>
      <c r="AC47" s="6" t="str">
        <f t="shared" si="13"/>
        <v/>
      </c>
      <c r="AD47" s="4"/>
      <c r="AE47" s="4"/>
      <c r="AF47" s="5">
        <f t="shared" si="14"/>
        <v>0</v>
      </c>
      <c r="AG47" s="6" t="str">
        <f t="shared" si="15"/>
        <v/>
      </c>
      <c r="AH47" s="4"/>
      <c r="AI47" s="4"/>
      <c r="AJ47" s="5">
        <f t="shared" si="16"/>
        <v>0</v>
      </c>
      <c r="AK47" s="6" t="str">
        <f t="shared" si="17"/>
        <v/>
      </c>
      <c r="AL47" s="5">
        <f t="shared" si="18"/>
        <v>1410.01</v>
      </c>
      <c r="AM47" s="5">
        <f t="shared" si="19"/>
        <v>0</v>
      </c>
      <c r="AN47" s="5">
        <f t="shared" si="20"/>
        <v>1410.01</v>
      </c>
      <c r="AO47" s="6" t="str">
        <f t="shared" si="21"/>
        <v/>
      </c>
    </row>
    <row r="48" spans="1:41" x14ac:dyDescent="0.25">
      <c r="A48" s="3" t="s">
        <v>55</v>
      </c>
      <c r="B48" s="7">
        <f>((((((B41)+(B42))+(B43))+(B44))+(B45))+(B46))+(B47)</f>
        <v>55316.82</v>
      </c>
      <c r="C48" s="7">
        <f>((((((C41)+(C42))+(C43))+(C44))+(C45))+(C46))+(C47)</f>
        <v>91000</v>
      </c>
      <c r="D48" s="7">
        <f t="shared" si="0"/>
        <v>-35683.18</v>
      </c>
      <c r="E48" s="8">
        <f t="shared" si="1"/>
        <v>0.60787714285714289</v>
      </c>
      <c r="F48" s="7">
        <f>((((((F41)+(F42))+(F43))+(F44))+(F45))+(F46))+(F47)</f>
        <v>28940.510000000002</v>
      </c>
      <c r="G48" s="7">
        <f>((((((G41)+(G42))+(G43))+(G44))+(G45))+(G46))+(G47)</f>
        <v>63550</v>
      </c>
      <c r="H48" s="7">
        <f t="shared" si="2"/>
        <v>-34609.49</v>
      </c>
      <c r="I48" s="8">
        <f t="shared" si="3"/>
        <v>0.45539748229740368</v>
      </c>
      <c r="J48" s="7">
        <f>((((((J41)+(J42))+(J43))+(J44))+(J45))+(J46))+(J47)</f>
        <v>17895.97</v>
      </c>
      <c r="K48" s="7">
        <f>((((((K41)+(K42))+(K43))+(K44))+(K45))+(K46))+(K47)</f>
        <v>73150</v>
      </c>
      <c r="L48" s="7">
        <f t="shared" si="4"/>
        <v>-55254.03</v>
      </c>
      <c r="M48" s="8">
        <f t="shared" si="5"/>
        <v>0.24464757347915245</v>
      </c>
      <c r="N48" s="7">
        <f>((((((N41)+(N42))+(N43))+(N44))+(N45))+(N46))+(N47)</f>
        <v>32180.95</v>
      </c>
      <c r="O48" s="7">
        <f>((((((O41)+(O42))+(O43))+(O44))+(O45))+(O46))+(O47)</f>
        <v>0</v>
      </c>
      <c r="P48" s="7">
        <f t="shared" si="6"/>
        <v>32180.95</v>
      </c>
      <c r="Q48" s="8" t="str">
        <f t="shared" si="7"/>
        <v/>
      </c>
      <c r="R48" s="7">
        <f>((((((R41)+(R42))+(R43))+(R44))+(R45))+(R46))+(R47)</f>
        <v>1137.69</v>
      </c>
      <c r="S48" s="7">
        <f>((((((S41)+(S42))+(S43))+(S44))+(S45))+(S46))+(S47)</f>
        <v>0</v>
      </c>
      <c r="T48" s="7">
        <f t="shared" si="8"/>
        <v>1137.69</v>
      </c>
      <c r="U48" s="8" t="str">
        <f t="shared" si="9"/>
        <v/>
      </c>
      <c r="V48" s="7">
        <f>((((((V41)+(V42))+(V43))+(V44))+(V45))+(V46))+(V47)</f>
        <v>2500</v>
      </c>
      <c r="W48" s="7">
        <f>((((((W41)+(W42))+(W43))+(W44))+(W45))+(W46))+(W47)</f>
        <v>5000</v>
      </c>
      <c r="X48" s="7">
        <f t="shared" si="10"/>
        <v>-2500</v>
      </c>
      <c r="Y48" s="8">
        <f t="shared" si="11"/>
        <v>0.5</v>
      </c>
      <c r="Z48" s="7">
        <f>((((((Z41)+(Z42))+(Z43))+(Z44))+(Z45))+(Z46))+(Z47)</f>
        <v>-135.59</v>
      </c>
      <c r="AA48" s="7">
        <f>((((((AA41)+(AA42))+(AA43))+(AA44))+(AA45))+(AA46))+(AA47)</f>
        <v>10000</v>
      </c>
      <c r="AB48" s="7">
        <f t="shared" si="12"/>
        <v>-10135.59</v>
      </c>
      <c r="AC48" s="8">
        <f t="shared" si="13"/>
        <v>-1.3559E-2</v>
      </c>
      <c r="AD48" s="7">
        <f>((((((AD41)+(AD42))+(AD43))+(AD44))+(AD45))+(AD46))+(AD47)</f>
        <v>0</v>
      </c>
      <c r="AE48" s="7">
        <f>((((((AE41)+(AE42))+(AE43))+(AE44))+(AE45))+(AE46))+(AE47)</f>
        <v>0</v>
      </c>
      <c r="AF48" s="7">
        <f t="shared" si="14"/>
        <v>0</v>
      </c>
      <c r="AG48" s="8" t="str">
        <f t="shared" si="15"/>
        <v/>
      </c>
      <c r="AH48" s="7">
        <f>((((((AH41)+(AH42))+(AH43))+(AH44))+(AH45))+(AH46))+(AH47)</f>
        <v>0</v>
      </c>
      <c r="AI48" s="7">
        <f>((((((AI41)+(AI42))+(AI43))+(AI44))+(AI45))+(AI46))+(AI47)</f>
        <v>0</v>
      </c>
      <c r="AJ48" s="7">
        <f t="shared" si="16"/>
        <v>0</v>
      </c>
      <c r="AK48" s="8" t="str">
        <f t="shared" si="17"/>
        <v/>
      </c>
      <c r="AL48" s="7">
        <f t="shared" si="18"/>
        <v>137836.35</v>
      </c>
      <c r="AM48" s="7">
        <f t="shared" si="19"/>
        <v>242700</v>
      </c>
      <c r="AN48" s="7">
        <f t="shared" si="20"/>
        <v>-104863.65</v>
      </c>
      <c r="AO48" s="8">
        <f t="shared" si="21"/>
        <v>0.56792892459826949</v>
      </c>
    </row>
    <row r="49" spans="1:41" x14ac:dyDescent="0.25">
      <c r="A49" s="3" t="s">
        <v>56</v>
      </c>
      <c r="B49" s="7">
        <f>(((((((B11)+(B15))+(B19))+(B25))+(B29))+(B36))+(B40))+(B48)</f>
        <v>145522.32</v>
      </c>
      <c r="C49" s="7">
        <f>(((((((C11)+(C15))+(C19))+(C25))+(C29))+(C36))+(C40))+(C48)</f>
        <v>100000</v>
      </c>
      <c r="D49" s="7">
        <f t="shared" si="0"/>
        <v>45522.320000000007</v>
      </c>
      <c r="E49" s="8">
        <f t="shared" si="1"/>
        <v>1.4552232000000001</v>
      </c>
      <c r="F49" s="7">
        <f>(((((((F11)+(F15))+(F19))+(F25))+(F29))+(F36))+(F40))+(F48)</f>
        <v>29772.850000000002</v>
      </c>
      <c r="G49" s="7">
        <f>(((((((G11)+(G15))+(G19))+(G25))+(G29))+(G36))+(G40))+(G48)</f>
        <v>72550</v>
      </c>
      <c r="H49" s="7">
        <f t="shared" si="2"/>
        <v>-42777.149999999994</v>
      </c>
      <c r="I49" s="8">
        <f t="shared" si="3"/>
        <v>0.4103769813921434</v>
      </c>
      <c r="J49" s="7">
        <f>(((((((J11)+(J15))+(J19))+(J25))+(J29))+(J36))+(J40))+(J48)</f>
        <v>1997.8000000000029</v>
      </c>
      <c r="K49" s="7">
        <f>(((((((K11)+(K15))+(K19))+(K25))+(K29))+(K36))+(K40))+(K48)</f>
        <v>96650</v>
      </c>
      <c r="L49" s="7">
        <f t="shared" si="4"/>
        <v>-94652.2</v>
      </c>
      <c r="M49" s="8">
        <f t="shared" si="5"/>
        <v>2.0670460424211102E-2</v>
      </c>
      <c r="N49" s="7">
        <f>(((((((N11)+(N15))+(N19))+(N25))+(N29))+(N36))+(N40))+(N48)</f>
        <v>38969.31</v>
      </c>
      <c r="O49" s="7">
        <f>(((((((O11)+(O15))+(O19))+(O25))+(O29))+(O36))+(O40))+(O48)</f>
        <v>14500</v>
      </c>
      <c r="P49" s="7">
        <f t="shared" si="6"/>
        <v>24469.309999999998</v>
      </c>
      <c r="Q49" s="8">
        <f t="shared" si="7"/>
        <v>2.6875386206896552</v>
      </c>
      <c r="R49" s="7">
        <f>(((((((R11)+(R15))+(R19))+(R25))+(R29))+(R36))+(R40))+(R48)</f>
        <v>48413.5</v>
      </c>
      <c r="S49" s="7">
        <f>(((((((S11)+(S15))+(S19))+(S25))+(S29))+(S36))+(S40))+(S48)</f>
        <v>82100</v>
      </c>
      <c r="T49" s="7">
        <f t="shared" si="8"/>
        <v>-33686.5</v>
      </c>
      <c r="U49" s="8">
        <f t="shared" si="9"/>
        <v>0.58968940316686969</v>
      </c>
      <c r="V49" s="7">
        <f>(((((((V11)+(V15))+(V19))+(V25))+(V29))+(V36))+(V40))+(V48)</f>
        <v>41833.21</v>
      </c>
      <c r="W49" s="7">
        <f>(((((((W11)+(W15))+(W19))+(W25))+(W29))+(W36))+(W40))+(W48)</f>
        <v>29500</v>
      </c>
      <c r="X49" s="7">
        <f t="shared" si="10"/>
        <v>12333.21</v>
      </c>
      <c r="Y49" s="8">
        <f t="shared" si="11"/>
        <v>1.4180749152542373</v>
      </c>
      <c r="Z49" s="7">
        <f>(((((((Z11)+(Z15))+(Z19))+(Z25))+(Z29))+(Z36))+(Z40))+(Z48)</f>
        <v>12042.050000000001</v>
      </c>
      <c r="AA49" s="7">
        <f>(((((((AA11)+(AA15))+(AA19))+(AA25))+(AA29))+(AA36))+(AA40))+(AA48)</f>
        <v>34000</v>
      </c>
      <c r="AB49" s="7">
        <f t="shared" si="12"/>
        <v>-21957.949999999997</v>
      </c>
      <c r="AC49" s="8">
        <f t="shared" si="13"/>
        <v>0.35417794117647061</v>
      </c>
      <c r="AD49" s="7">
        <f>(((((((AD11)+(AD15))+(AD19))+(AD25))+(AD29))+(AD36))+(AD40))+(AD48)</f>
        <v>5302.4800000000005</v>
      </c>
      <c r="AE49" s="7">
        <f>(((((((AE11)+(AE15))+(AE19))+(AE25))+(AE29))+(AE36))+(AE40))+(AE48)</f>
        <v>9000</v>
      </c>
      <c r="AF49" s="7">
        <f t="shared" si="14"/>
        <v>-3697.5199999999995</v>
      </c>
      <c r="AG49" s="8">
        <f t="shared" si="15"/>
        <v>0.58916444444444449</v>
      </c>
      <c r="AH49" s="7">
        <f>(((((((AH11)+(AH15))+(AH19))+(AH25))+(AH29))+(AH36))+(AH40))+(AH48)</f>
        <v>29443.43</v>
      </c>
      <c r="AI49" s="7">
        <f>(((((((AI11)+(AI15))+(AI19))+(AI25))+(AI29))+(AI36))+(AI40))+(AI48)</f>
        <v>19000</v>
      </c>
      <c r="AJ49" s="7">
        <f t="shared" si="16"/>
        <v>10443.43</v>
      </c>
      <c r="AK49" s="8">
        <f t="shared" si="17"/>
        <v>1.5496542105263158</v>
      </c>
      <c r="AL49" s="7">
        <f t="shared" si="18"/>
        <v>353296.95</v>
      </c>
      <c r="AM49" s="7">
        <f t="shared" si="19"/>
        <v>457300</v>
      </c>
      <c r="AN49" s="7">
        <f t="shared" si="20"/>
        <v>-104003.04999999999</v>
      </c>
      <c r="AO49" s="8">
        <f t="shared" si="21"/>
        <v>0.77257150666958241</v>
      </c>
    </row>
    <row r="50" spans="1:41" x14ac:dyDescent="0.25">
      <c r="A50" s="3" t="s">
        <v>57</v>
      </c>
      <c r="B50" s="7">
        <f>(B49)-(0)</f>
        <v>145522.32</v>
      </c>
      <c r="C50" s="7">
        <f>(C49)-(0)</f>
        <v>100000</v>
      </c>
      <c r="D50" s="7">
        <f t="shared" si="0"/>
        <v>45522.320000000007</v>
      </c>
      <c r="E50" s="8">
        <f t="shared" si="1"/>
        <v>1.4552232000000001</v>
      </c>
      <c r="F50" s="7">
        <f>(F49)-(0)</f>
        <v>29772.850000000002</v>
      </c>
      <c r="G50" s="7">
        <f>(G49)-(0)</f>
        <v>72550</v>
      </c>
      <c r="H50" s="7">
        <f t="shared" si="2"/>
        <v>-42777.149999999994</v>
      </c>
      <c r="I50" s="8">
        <f t="shared" si="3"/>
        <v>0.4103769813921434</v>
      </c>
      <c r="J50" s="7">
        <f>(J49)-(0)</f>
        <v>1997.8000000000029</v>
      </c>
      <c r="K50" s="7">
        <f>(K49)-(0)</f>
        <v>96650</v>
      </c>
      <c r="L50" s="7">
        <f t="shared" si="4"/>
        <v>-94652.2</v>
      </c>
      <c r="M50" s="8">
        <f t="shared" si="5"/>
        <v>2.0670460424211102E-2</v>
      </c>
      <c r="N50" s="7">
        <f>(N49)-(0)</f>
        <v>38969.31</v>
      </c>
      <c r="O50" s="7">
        <f>(O49)-(0)</f>
        <v>14500</v>
      </c>
      <c r="P50" s="7">
        <f t="shared" si="6"/>
        <v>24469.309999999998</v>
      </c>
      <c r="Q50" s="8">
        <f t="shared" si="7"/>
        <v>2.6875386206896552</v>
      </c>
      <c r="R50" s="7">
        <f>(R49)-(0)</f>
        <v>48413.5</v>
      </c>
      <c r="S50" s="7">
        <f>(S49)-(0)</f>
        <v>82100</v>
      </c>
      <c r="T50" s="7">
        <f t="shared" si="8"/>
        <v>-33686.5</v>
      </c>
      <c r="U50" s="8">
        <f t="shared" si="9"/>
        <v>0.58968940316686969</v>
      </c>
      <c r="V50" s="7">
        <f>(V49)-(0)</f>
        <v>41833.21</v>
      </c>
      <c r="W50" s="7">
        <f>(W49)-(0)</f>
        <v>29500</v>
      </c>
      <c r="X50" s="7">
        <f t="shared" si="10"/>
        <v>12333.21</v>
      </c>
      <c r="Y50" s="8">
        <f t="shared" si="11"/>
        <v>1.4180749152542373</v>
      </c>
      <c r="Z50" s="7">
        <f>(Z49)-(0)</f>
        <v>12042.050000000001</v>
      </c>
      <c r="AA50" s="7">
        <f>(AA49)-(0)</f>
        <v>34000</v>
      </c>
      <c r="AB50" s="7">
        <f t="shared" si="12"/>
        <v>-21957.949999999997</v>
      </c>
      <c r="AC50" s="8">
        <f t="shared" si="13"/>
        <v>0.35417794117647061</v>
      </c>
      <c r="AD50" s="7">
        <f>(AD49)-(0)</f>
        <v>5302.4800000000005</v>
      </c>
      <c r="AE50" s="7">
        <f>(AE49)-(0)</f>
        <v>9000</v>
      </c>
      <c r="AF50" s="7">
        <f t="shared" si="14"/>
        <v>-3697.5199999999995</v>
      </c>
      <c r="AG50" s="8">
        <f t="shared" si="15"/>
        <v>0.58916444444444449</v>
      </c>
      <c r="AH50" s="7">
        <f>(AH49)-(0)</f>
        <v>29443.43</v>
      </c>
      <c r="AI50" s="7">
        <f>(AI49)-(0)</f>
        <v>19000</v>
      </c>
      <c r="AJ50" s="7">
        <f t="shared" si="16"/>
        <v>10443.43</v>
      </c>
      <c r="AK50" s="8">
        <f t="shared" si="17"/>
        <v>1.5496542105263158</v>
      </c>
      <c r="AL50" s="7">
        <f t="shared" si="18"/>
        <v>353296.95</v>
      </c>
      <c r="AM50" s="7">
        <f t="shared" si="19"/>
        <v>457300</v>
      </c>
      <c r="AN50" s="7">
        <f t="shared" si="20"/>
        <v>-104003.04999999999</v>
      </c>
      <c r="AO50" s="8">
        <f t="shared" si="21"/>
        <v>0.77257150666958241</v>
      </c>
    </row>
    <row r="51" spans="1:41" x14ac:dyDescent="0.25">
      <c r="A51" s="3" t="s">
        <v>58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25">
      <c r="A52" s="3" t="s">
        <v>59</v>
      </c>
      <c r="B52" s="4"/>
      <c r="C52" s="4"/>
      <c r="D52" s="5">
        <f t="shared" ref="D52:D83" si="22">(B52)-(C52)</f>
        <v>0</v>
      </c>
      <c r="E52" s="6" t="str">
        <f t="shared" ref="E52:E83" si="23">IF(C52=0,"",(B52)/(C52))</f>
        <v/>
      </c>
      <c r="F52" s="4"/>
      <c r="G52" s="4"/>
      <c r="H52" s="5">
        <f t="shared" ref="H52:H83" si="24">(F52)-(G52)</f>
        <v>0</v>
      </c>
      <c r="I52" s="6" t="str">
        <f t="shared" ref="I52:I83" si="25">IF(G52=0,"",(F52)/(G52))</f>
        <v/>
      </c>
      <c r="J52" s="4"/>
      <c r="K52" s="4"/>
      <c r="L52" s="5">
        <f t="shared" ref="L52:L83" si="26">(J52)-(K52)</f>
        <v>0</v>
      </c>
      <c r="M52" s="6" t="str">
        <f t="shared" ref="M52:M83" si="27">IF(K52=0,"",(J52)/(K52))</f>
        <v/>
      </c>
      <c r="N52" s="4"/>
      <c r="O52" s="4"/>
      <c r="P52" s="5">
        <f t="shared" ref="P52:P83" si="28">(N52)-(O52)</f>
        <v>0</v>
      </c>
      <c r="Q52" s="6" t="str">
        <f t="shared" ref="Q52:Q83" si="29">IF(O52=0,"",(N52)/(O52))</f>
        <v/>
      </c>
      <c r="R52" s="4"/>
      <c r="S52" s="4"/>
      <c r="T52" s="5">
        <f t="shared" ref="T52:T83" si="30">(R52)-(S52)</f>
        <v>0</v>
      </c>
      <c r="U52" s="6" t="str">
        <f t="shared" ref="U52:U83" si="31">IF(S52=0,"",(R52)/(S52))</f>
        <v/>
      </c>
      <c r="V52" s="4"/>
      <c r="W52" s="4"/>
      <c r="X52" s="5">
        <f t="shared" ref="X52:X83" si="32">(V52)-(W52)</f>
        <v>0</v>
      </c>
      <c r="Y52" s="6" t="str">
        <f t="shared" ref="Y52:Y83" si="33">IF(W52=0,"",(V52)/(W52))</f>
        <v/>
      </c>
      <c r="Z52" s="4"/>
      <c r="AA52" s="4"/>
      <c r="AB52" s="5">
        <f t="shared" ref="AB52:AB83" si="34">(Z52)-(AA52)</f>
        <v>0</v>
      </c>
      <c r="AC52" s="6" t="str">
        <f t="shared" ref="AC52:AC83" si="35">IF(AA52=0,"",(Z52)/(AA52))</f>
        <v/>
      </c>
      <c r="AD52" s="4"/>
      <c r="AE52" s="4"/>
      <c r="AF52" s="5">
        <f t="shared" ref="AF52:AF83" si="36">(AD52)-(AE52)</f>
        <v>0</v>
      </c>
      <c r="AG52" s="6" t="str">
        <f t="shared" ref="AG52:AG83" si="37">IF(AE52=0,"",(AD52)/(AE52))</f>
        <v/>
      </c>
      <c r="AH52" s="4"/>
      <c r="AI52" s="4"/>
      <c r="AJ52" s="5">
        <f t="shared" ref="AJ52:AJ83" si="38">(AH52)-(AI52)</f>
        <v>0</v>
      </c>
      <c r="AK52" s="6" t="str">
        <f t="shared" ref="AK52:AK83" si="39">IF(AI52=0,"",(AH52)/(AI52))</f>
        <v/>
      </c>
      <c r="AL52" s="5">
        <f t="shared" ref="AL52:AL83" si="40">((((((((B52)+(F52))+(J52))+(N52))+(R52))+(V52))+(Z52))+(AD52))+(AH52)</f>
        <v>0</v>
      </c>
      <c r="AM52" s="5">
        <f t="shared" ref="AM52:AM83" si="41">((((((((C52)+(G52))+(K52))+(O52))+(S52))+(W52))+(AA52))+(AE52))+(AI52)</f>
        <v>0</v>
      </c>
      <c r="AN52" s="5">
        <f t="shared" ref="AN52:AN83" si="42">(AL52)-(AM52)</f>
        <v>0</v>
      </c>
      <c r="AO52" s="6" t="str">
        <f t="shared" ref="AO52:AO83" si="43">IF(AM52=0,"",(AL52)/(AM52))</f>
        <v/>
      </c>
    </row>
    <row r="53" spans="1:41" x14ac:dyDescent="0.25">
      <c r="A53" s="3" t="s">
        <v>60</v>
      </c>
      <c r="B53" s="4"/>
      <c r="C53" s="4"/>
      <c r="D53" s="5">
        <f t="shared" si="22"/>
        <v>0</v>
      </c>
      <c r="E53" s="6" t="str">
        <f t="shared" si="23"/>
        <v/>
      </c>
      <c r="F53" s="4"/>
      <c r="G53" s="4"/>
      <c r="H53" s="5">
        <f t="shared" si="24"/>
        <v>0</v>
      </c>
      <c r="I53" s="6" t="str">
        <f t="shared" si="25"/>
        <v/>
      </c>
      <c r="J53" s="4"/>
      <c r="K53" s="4"/>
      <c r="L53" s="5">
        <f t="shared" si="26"/>
        <v>0</v>
      </c>
      <c r="M53" s="6" t="str">
        <f t="shared" si="27"/>
        <v/>
      </c>
      <c r="N53" s="4"/>
      <c r="O53" s="4"/>
      <c r="P53" s="5">
        <f t="shared" si="28"/>
        <v>0</v>
      </c>
      <c r="Q53" s="6" t="str">
        <f t="shared" si="29"/>
        <v/>
      </c>
      <c r="R53" s="4"/>
      <c r="S53" s="4"/>
      <c r="T53" s="5">
        <f t="shared" si="30"/>
        <v>0</v>
      </c>
      <c r="U53" s="6" t="str">
        <f t="shared" si="31"/>
        <v/>
      </c>
      <c r="V53" s="4"/>
      <c r="W53" s="4"/>
      <c r="X53" s="5">
        <f t="shared" si="32"/>
        <v>0</v>
      </c>
      <c r="Y53" s="6" t="str">
        <f t="shared" si="33"/>
        <v/>
      </c>
      <c r="Z53" s="5">
        <f>99</f>
        <v>99</v>
      </c>
      <c r="AA53" s="4"/>
      <c r="AB53" s="5">
        <f t="shared" si="34"/>
        <v>99</v>
      </c>
      <c r="AC53" s="6" t="str">
        <f t="shared" si="35"/>
        <v/>
      </c>
      <c r="AD53" s="4"/>
      <c r="AE53" s="4"/>
      <c r="AF53" s="5">
        <f t="shared" si="36"/>
        <v>0</v>
      </c>
      <c r="AG53" s="6" t="str">
        <f t="shared" si="37"/>
        <v/>
      </c>
      <c r="AH53" s="4"/>
      <c r="AI53" s="4"/>
      <c r="AJ53" s="5">
        <f t="shared" si="38"/>
        <v>0</v>
      </c>
      <c r="AK53" s="6" t="str">
        <f t="shared" si="39"/>
        <v/>
      </c>
      <c r="AL53" s="5">
        <f t="shared" si="40"/>
        <v>99</v>
      </c>
      <c r="AM53" s="5">
        <f t="shared" si="41"/>
        <v>0</v>
      </c>
      <c r="AN53" s="5">
        <f t="shared" si="42"/>
        <v>99</v>
      </c>
      <c r="AO53" s="6" t="str">
        <f t="shared" si="43"/>
        <v/>
      </c>
    </row>
    <row r="54" spans="1:41" x14ac:dyDescent="0.25">
      <c r="A54" s="3" t="s">
        <v>61</v>
      </c>
      <c r="B54" s="4"/>
      <c r="C54" s="5">
        <f>0</f>
        <v>0</v>
      </c>
      <c r="D54" s="5">
        <f t="shared" si="22"/>
        <v>0</v>
      </c>
      <c r="E54" s="6" t="str">
        <f t="shared" si="23"/>
        <v/>
      </c>
      <c r="F54" s="4"/>
      <c r="G54" s="5">
        <f>0</f>
        <v>0</v>
      </c>
      <c r="H54" s="5">
        <f t="shared" si="24"/>
        <v>0</v>
      </c>
      <c r="I54" s="6" t="str">
        <f t="shared" si="25"/>
        <v/>
      </c>
      <c r="J54" s="4"/>
      <c r="K54" s="5">
        <f>0</f>
        <v>0</v>
      </c>
      <c r="L54" s="5">
        <f t="shared" si="26"/>
        <v>0</v>
      </c>
      <c r="M54" s="6" t="str">
        <f t="shared" si="27"/>
        <v/>
      </c>
      <c r="N54" s="4"/>
      <c r="O54" s="5">
        <f>0</f>
        <v>0</v>
      </c>
      <c r="P54" s="5">
        <f t="shared" si="28"/>
        <v>0</v>
      </c>
      <c r="Q54" s="6" t="str">
        <f t="shared" si="29"/>
        <v/>
      </c>
      <c r="R54" s="4"/>
      <c r="S54" s="5">
        <f>0</f>
        <v>0</v>
      </c>
      <c r="T54" s="5">
        <f t="shared" si="30"/>
        <v>0</v>
      </c>
      <c r="U54" s="6" t="str">
        <f t="shared" si="31"/>
        <v/>
      </c>
      <c r="V54" s="4"/>
      <c r="W54" s="5">
        <f>0</f>
        <v>0</v>
      </c>
      <c r="X54" s="5">
        <f t="shared" si="32"/>
        <v>0</v>
      </c>
      <c r="Y54" s="6" t="str">
        <f t="shared" si="33"/>
        <v/>
      </c>
      <c r="Z54" s="4"/>
      <c r="AA54" s="5">
        <f>0</f>
        <v>0</v>
      </c>
      <c r="AB54" s="5">
        <f t="shared" si="34"/>
        <v>0</v>
      </c>
      <c r="AC54" s="6" t="str">
        <f t="shared" si="35"/>
        <v/>
      </c>
      <c r="AD54" s="4"/>
      <c r="AE54" s="5">
        <f>0</f>
        <v>0</v>
      </c>
      <c r="AF54" s="5">
        <f t="shared" si="36"/>
        <v>0</v>
      </c>
      <c r="AG54" s="6" t="str">
        <f t="shared" si="37"/>
        <v/>
      </c>
      <c r="AH54" s="4"/>
      <c r="AI54" s="5">
        <f>0</f>
        <v>0</v>
      </c>
      <c r="AJ54" s="5">
        <f t="shared" si="38"/>
        <v>0</v>
      </c>
      <c r="AK54" s="6" t="str">
        <f t="shared" si="39"/>
        <v/>
      </c>
      <c r="AL54" s="5">
        <f t="shared" si="40"/>
        <v>0</v>
      </c>
      <c r="AM54" s="5">
        <f t="shared" si="41"/>
        <v>0</v>
      </c>
      <c r="AN54" s="5">
        <f t="shared" si="42"/>
        <v>0</v>
      </c>
      <c r="AO54" s="6" t="str">
        <f t="shared" si="43"/>
        <v/>
      </c>
    </row>
    <row r="55" spans="1:41" x14ac:dyDescent="0.25">
      <c r="A55" s="3" t="s">
        <v>62</v>
      </c>
      <c r="B55" s="7">
        <f>((B52)+(B53))+(B54)</f>
        <v>0</v>
      </c>
      <c r="C55" s="7">
        <f>((C52)+(C53))+(C54)</f>
        <v>0</v>
      </c>
      <c r="D55" s="7">
        <f t="shared" si="22"/>
        <v>0</v>
      </c>
      <c r="E55" s="8" t="str">
        <f t="shared" si="23"/>
        <v/>
      </c>
      <c r="F55" s="7">
        <f>((F52)+(F53))+(F54)</f>
        <v>0</v>
      </c>
      <c r="G55" s="7">
        <f>((G52)+(G53))+(G54)</f>
        <v>0</v>
      </c>
      <c r="H55" s="7">
        <f t="shared" si="24"/>
        <v>0</v>
      </c>
      <c r="I55" s="8" t="str">
        <f t="shared" si="25"/>
        <v/>
      </c>
      <c r="J55" s="7">
        <f>((J52)+(J53))+(J54)</f>
        <v>0</v>
      </c>
      <c r="K55" s="7">
        <f>((K52)+(K53))+(K54)</f>
        <v>0</v>
      </c>
      <c r="L55" s="7">
        <f t="shared" si="26"/>
        <v>0</v>
      </c>
      <c r="M55" s="8" t="str">
        <f t="shared" si="27"/>
        <v/>
      </c>
      <c r="N55" s="7">
        <f>((N52)+(N53))+(N54)</f>
        <v>0</v>
      </c>
      <c r="O55" s="7">
        <f>((O52)+(O53))+(O54)</f>
        <v>0</v>
      </c>
      <c r="P55" s="7">
        <f t="shared" si="28"/>
        <v>0</v>
      </c>
      <c r="Q55" s="8" t="str">
        <f t="shared" si="29"/>
        <v/>
      </c>
      <c r="R55" s="7">
        <f>((R52)+(R53))+(R54)</f>
        <v>0</v>
      </c>
      <c r="S55" s="7">
        <f>((S52)+(S53))+(S54)</f>
        <v>0</v>
      </c>
      <c r="T55" s="7">
        <f t="shared" si="30"/>
        <v>0</v>
      </c>
      <c r="U55" s="8" t="str">
        <f t="shared" si="31"/>
        <v/>
      </c>
      <c r="V55" s="7">
        <f>((V52)+(V53))+(V54)</f>
        <v>0</v>
      </c>
      <c r="W55" s="7">
        <f>((W52)+(W53))+(W54)</f>
        <v>0</v>
      </c>
      <c r="X55" s="7">
        <f t="shared" si="32"/>
        <v>0</v>
      </c>
      <c r="Y55" s="8" t="str">
        <f t="shared" si="33"/>
        <v/>
      </c>
      <c r="Z55" s="7">
        <f>((Z52)+(Z53))+(Z54)</f>
        <v>99</v>
      </c>
      <c r="AA55" s="7">
        <f>((AA52)+(AA53))+(AA54)</f>
        <v>0</v>
      </c>
      <c r="AB55" s="7">
        <f t="shared" si="34"/>
        <v>99</v>
      </c>
      <c r="AC55" s="8" t="str">
        <f t="shared" si="35"/>
        <v/>
      </c>
      <c r="AD55" s="7">
        <f>((AD52)+(AD53))+(AD54)</f>
        <v>0</v>
      </c>
      <c r="AE55" s="7">
        <f>((AE52)+(AE53))+(AE54)</f>
        <v>0</v>
      </c>
      <c r="AF55" s="7">
        <f t="shared" si="36"/>
        <v>0</v>
      </c>
      <c r="AG55" s="8" t="str">
        <f t="shared" si="37"/>
        <v/>
      </c>
      <c r="AH55" s="7">
        <f>((AH52)+(AH53))+(AH54)</f>
        <v>0</v>
      </c>
      <c r="AI55" s="7">
        <f>((AI52)+(AI53))+(AI54)</f>
        <v>0</v>
      </c>
      <c r="AJ55" s="7">
        <f t="shared" si="38"/>
        <v>0</v>
      </c>
      <c r="AK55" s="8" t="str">
        <f t="shared" si="39"/>
        <v/>
      </c>
      <c r="AL55" s="7">
        <f t="shared" si="40"/>
        <v>99</v>
      </c>
      <c r="AM55" s="7">
        <f t="shared" si="41"/>
        <v>0</v>
      </c>
      <c r="AN55" s="7">
        <f t="shared" si="42"/>
        <v>99</v>
      </c>
      <c r="AO55" s="8" t="str">
        <f t="shared" si="43"/>
        <v/>
      </c>
    </row>
    <row r="56" spans="1:41" x14ac:dyDescent="0.25">
      <c r="A56" s="3" t="s">
        <v>63</v>
      </c>
      <c r="B56" s="4"/>
      <c r="C56" s="4"/>
      <c r="D56" s="5">
        <f t="shared" si="22"/>
        <v>0</v>
      </c>
      <c r="E56" s="6" t="str">
        <f t="shared" si="23"/>
        <v/>
      </c>
      <c r="F56" s="4"/>
      <c r="G56" s="4"/>
      <c r="H56" s="5">
        <f t="shared" si="24"/>
        <v>0</v>
      </c>
      <c r="I56" s="6" t="str">
        <f t="shared" si="25"/>
        <v/>
      </c>
      <c r="J56" s="4"/>
      <c r="K56" s="4"/>
      <c r="L56" s="5">
        <f t="shared" si="26"/>
        <v>0</v>
      </c>
      <c r="M56" s="6" t="str">
        <f t="shared" si="27"/>
        <v/>
      </c>
      <c r="N56" s="4"/>
      <c r="O56" s="4"/>
      <c r="P56" s="5">
        <f t="shared" si="28"/>
        <v>0</v>
      </c>
      <c r="Q56" s="6" t="str">
        <f t="shared" si="29"/>
        <v/>
      </c>
      <c r="R56" s="4"/>
      <c r="S56" s="4"/>
      <c r="T56" s="5">
        <f t="shared" si="30"/>
        <v>0</v>
      </c>
      <c r="U56" s="6" t="str">
        <f t="shared" si="31"/>
        <v/>
      </c>
      <c r="V56" s="4"/>
      <c r="W56" s="4"/>
      <c r="X56" s="5">
        <f t="shared" si="32"/>
        <v>0</v>
      </c>
      <c r="Y56" s="6" t="str">
        <f t="shared" si="33"/>
        <v/>
      </c>
      <c r="Z56" s="4"/>
      <c r="AA56" s="4"/>
      <c r="AB56" s="5">
        <f t="shared" si="34"/>
        <v>0</v>
      </c>
      <c r="AC56" s="6" t="str">
        <f t="shared" si="35"/>
        <v/>
      </c>
      <c r="AD56" s="4"/>
      <c r="AE56" s="4"/>
      <c r="AF56" s="5">
        <f t="shared" si="36"/>
        <v>0</v>
      </c>
      <c r="AG56" s="6" t="str">
        <f t="shared" si="37"/>
        <v/>
      </c>
      <c r="AH56" s="4"/>
      <c r="AI56" s="4"/>
      <c r="AJ56" s="5">
        <f t="shared" si="38"/>
        <v>0</v>
      </c>
      <c r="AK56" s="6" t="str">
        <f t="shared" si="39"/>
        <v/>
      </c>
      <c r="AL56" s="5">
        <f t="shared" si="40"/>
        <v>0</v>
      </c>
      <c r="AM56" s="5">
        <f t="shared" si="41"/>
        <v>0</v>
      </c>
      <c r="AN56" s="5">
        <f t="shared" si="42"/>
        <v>0</v>
      </c>
      <c r="AO56" s="6" t="str">
        <f t="shared" si="43"/>
        <v/>
      </c>
    </row>
    <row r="57" spans="1:41" x14ac:dyDescent="0.25">
      <c r="A57" s="3" t="s">
        <v>64</v>
      </c>
      <c r="B57" s="5">
        <f>827.47</f>
        <v>827.47</v>
      </c>
      <c r="C57" s="5">
        <f>950</f>
        <v>950</v>
      </c>
      <c r="D57" s="5">
        <f t="shared" si="22"/>
        <v>-122.52999999999997</v>
      </c>
      <c r="E57" s="6">
        <f t="shared" si="23"/>
        <v>0.87102105263157903</v>
      </c>
      <c r="F57" s="5">
        <f>918.77</f>
        <v>918.77</v>
      </c>
      <c r="G57" s="5">
        <f>950</f>
        <v>950</v>
      </c>
      <c r="H57" s="5">
        <f t="shared" si="24"/>
        <v>-31.230000000000018</v>
      </c>
      <c r="I57" s="6">
        <f t="shared" si="25"/>
        <v>0.96712631578947361</v>
      </c>
      <c r="J57" s="5">
        <f>912.64</f>
        <v>912.64</v>
      </c>
      <c r="K57" s="5">
        <f>950</f>
        <v>950</v>
      </c>
      <c r="L57" s="5">
        <f t="shared" si="26"/>
        <v>-37.360000000000014</v>
      </c>
      <c r="M57" s="6">
        <f t="shared" si="27"/>
        <v>0.96067368421052635</v>
      </c>
      <c r="N57" s="5">
        <f>926.73</f>
        <v>926.73</v>
      </c>
      <c r="O57" s="5">
        <f>950</f>
        <v>950</v>
      </c>
      <c r="P57" s="5">
        <f t="shared" si="28"/>
        <v>-23.269999999999982</v>
      </c>
      <c r="Q57" s="6">
        <f t="shared" si="29"/>
        <v>0.97550526315789476</v>
      </c>
      <c r="R57" s="5">
        <f>952.8</f>
        <v>952.8</v>
      </c>
      <c r="S57" s="5">
        <f>950</f>
        <v>950</v>
      </c>
      <c r="T57" s="5">
        <f t="shared" si="30"/>
        <v>2.7999999999999545</v>
      </c>
      <c r="U57" s="6">
        <f t="shared" si="31"/>
        <v>1.0029473684210526</v>
      </c>
      <c r="V57" s="5">
        <f>982.82</f>
        <v>982.82</v>
      </c>
      <c r="W57" s="5">
        <f>950</f>
        <v>950</v>
      </c>
      <c r="X57" s="5">
        <f t="shared" si="32"/>
        <v>32.82000000000005</v>
      </c>
      <c r="Y57" s="6">
        <f t="shared" si="33"/>
        <v>1.0345473684210527</v>
      </c>
      <c r="Z57" s="5">
        <f>1044.59</f>
        <v>1044.5899999999999</v>
      </c>
      <c r="AA57" s="5">
        <f>950</f>
        <v>950</v>
      </c>
      <c r="AB57" s="5">
        <f t="shared" si="34"/>
        <v>94.589999999999918</v>
      </c>
      <c r="AC57" s="6">
        <f t="shared" si="35"/>
        <v>1.0995684210526315</v>
      </c>
      <c r="AD57" s="5">
        <f>1024.55</f>
        <v>1024.55</v>
      </c>
      <c r="AE57" s="5">
        <f>950</f>
        <v>950</v>
      </c>
      <c r="AF57" s="5">
        <f t="shared" si="36"/>
        <v>74.549999999999955</v>
      </c>
      <c r="AG57" s="6">
        <f t="shared" si="37"/>
        <v>1.0784736842105263</v>
      </c>
      <c r="AH57" s="5">
        <f>931.66</f>
        <v>931.66</v>
      </c>
      <c r="AI57" s="5">
        <f>950</f>
        <v>950</v>
      </c>
      <c r="AJ57" s="5">
        <f t="shared" si="38"/>
        <v>-18.340000000000032</v>
      </c>
      <c r="AK57" s="6">
        <f t="shared" si="39"/>
        <v>0.98069473684210517</v>
      </c>
      <c r="AL57" s="5">
        <f t="shared" si="40"/>
        <v>8522.0300000000007</v>
      </c>
      <c r="AM57" s="5">
        <f t="shared" si="41"/>
        <v>8550</v>
      </c>
      <c r="AN57" s="5">
        <f t="shared" si="42"/>
        <v>-27.969999999999345</v>
      </c>
      <c r="AO57" s="6">
        <f t="shared" si="43"/>
        <v>0.99672865497076035</v>
      </c>
    </row>
    <row r="58" spans="1:41" x14ac:dyDescent="0.25">
      <c r="A58" s="3" t="s">
        <v>65</v>
      </c>
      <c r="B58" s="7">
        <f>(B56)+(B57)</f>
        <v>827.47</v>
      </c>
      <c r="C58" s="7">
        <f>(C56)+(C57)</f>
        <v>950</v>
      </c>
      <c r="D58" s="7">
        <f t="shared" si="22"/>
        <v>-122.52999999999997</v>
      </c>
      <c r="E58" s="8">
        <f t="shared" si="23"/>
        <v>0.87102105263157903</v>
      </c>
      <c r="F58" s="7">
        <f>(F56)+(F57)</f>
        <v>918.77</v>
      </c>
      <c r="G58" s="7">
        <f>(G56)+(G57)</f>
        <v>950</v>
      </c>
      <c r="H58" s="7">
        <f t="shared" si="24"/>
        <v>-31.230000000000018</v>
      </c>
      <c r="I58" s="8">
        <f t="shared" si="25"/>
        <v>0.96712631578947361</v>
      </c>
      <c r="J58" s="7">
        <f>(J56)+(J57)</f>
        <v>912.64</v>
      </c>
      <c r="K58" s="7">
        <f>(K56)+(K57)</f>
        <v>950</v>
      </c>
      <c r="L58" s="7">
        <f t="shared" si="26"/>
        <v>-37.360000000000014</v>
      </c>
      <c r="M58" s="8">
        <f t="shared" si="27"/>
        <v>0.96067368421052635</v>
      </c>
      <c r="N58" s="7">
        <f>(N56)+(N57)</f>
        <v>926.73</v>
      </c>
      <c r="O58" s="7">
        <f>(O56)+(O57)</f>
        <v>950</v>
      </c>
      <c r="P58" s="7">
        <f t="shared" si="28"/>
        <v>-23.269999999999982</v>
      </c>
      <c r="Q58" s="8">
        <f t="shared" si="29"/>
        <v>0.97550526315789476</v>
      </c>
      <c r="R58" s="7">
        <f>(R56)+(R57)</f>
        <v>952.8</v>
      </c>
      <c r="S58" s="7">
        <f>(S56)+(S57)</f>
        <v>950</v>
      </c>
      <c r="T58" s="7">
        <f t="shared" si="30"/>
        <v>2.7999999999999545</v>
      </c>
      <c r="U58" s="8">
        <f t="shared" si="31"/>
        <v>1.0029473684210526</v>
      </c>
      <c r="V58" s="7">
        <f>(V56)+(V57)</f>
        <v>982.82</v>
      </c>
      <c r="W58" s="7">
        <f>(W56)+(W57)</f>
        <v>950</v>
      </c>
      <c r="X58" s="7">
        <f t="shared" si="32"/>
        <v>32.82000000000005</v>
      </c>
      <c r="Y58" s="8">
        <f t="shared" si="33"/>
        <v>1.0345473684210527</v>
      </c>
      <c r="Z58" s="7">
        <f>(Z56)+(Z57)</f>
        <v>1044.5899999999999</v>
      </c>
      <c r="AA58" s="7">
        <f>(AA56)+(AA57)</f>
        <v>950</v>
      </c>
      <c r="AB58" s="7">
        <f t="shared" si="34"/>
        <v>94.589999999999918</v>
      </c>
      <c r="AC58" s="8">
        <f t="shared" si="35"/>
        <v>1.0995684210526315</v>
      </c>
      <c r="AD58" s="7">
        <f>(AD56)+(AD57)</f>
        <v>1024.55</v>
      </c>
      <c r="AE58" s="7">
        <f>(AE56)+(AE57)</f>
        <v>950</v>
      </c>
      <c r="AF58" s="7">
        <f t="shared" si="36"/>
        <v>74.549999999999955</v>
      </c>
      <c r="AG58" s="8">
        <f t="shared" si="37"/>
        <v>1.0784736842105263</v>
      </c>
      <c r="AH58" s="7">
        <f>(AH56)+(AH57)</f>
        <v>931.66</v>
      </c>
      <c r="AI58" s="7">
        <f>(AI56)+(AI57)</f>
        <v>950</v>
      </c>
      <c r="AJ58" s="7">
        <f t="shared" si="38"/>
        <v>-18.340000000000032</v>
      </c>
      <c r="AK58" s="8">
        <f t="shared" si="39"/>
        <v>0.98069473684210517</v>
      </c>
      <c r="AL58" s="7">
        <f t="shared" si="40"/>
        <v>8522.0300000000007</v>
      </c>
      <c r="AM58" s="7">
        <f t="shared" si="41"/>
        <v>8550</v>
      </c>
      <c r="AN58" s="7">
        <f t="shared" si="42"/>
        <v>-27.969999999999345</v>
      </c>
      <c r="AO58" s="8">
        <f t="shared" si="43"/>
        <v>0.99672865497076035</v>
      </c>
    </row>
    <row r="59" spans="1:41" x14ac:dyDescent="0.25">
      <c r="A59" s="3" t="s">
        <v>66</v>
      </c>
      <c r="B59" s="4"/>
      <c r="C59" s="4"/>
      <c r="D59" s="5">
        <f t="shared" si="22"/>
        <v>0</v>
      </c>
      <c r="E59" s="6" t="str">
        <f t="shared" si="23"/>
        <v/>
      </c>
      <c r="F59" s="4"/>
      <c r="G59" s="4"/>
      <c r="H59" s="5">
        <f t="shared" si="24"/>
        <v>0</v>
      </c>
      <c r="I59" s="6" t="str">
        <f t="shared" si="25"/>
        <v/>
      </c>
      <c r="J59" s="4"/>
      <c r="K59" s="4"/>
      <c r="L59" s="5">
        <f t="shared" si="26"/>
        <v>0</v>
      </c>
      <c r="M59" s="6" t="str">
        <f t="shared" si="27"/>
        <v/>
      </c>
      <c r="N59" s="4"/>
      <c r="O59" s="4"/>
      <c r="P59" s="5">
        <f t="shared" si="28"/>
        <v>0</v>
      </c>
      <c r="Q59" s="6" t="str">
        <f t="shared" si="29"/>
        <v/>
      </c>
      <c r="R59" s="4"/>
      <c r="S59" s="4"/>
      <c r="T59" s="5">
        <f t="shared" si="30"/>
        <v>0</v>
      </c>
      <c r="U59" s="6" t="str">
        <f t="shared" si="31"/>
        <v/>
      </c>
      <c r="V59" s="4"/>
      <c r="W59" s="4"/>
      <c r="X59" s="5">
        <f t="shared" si="32"/>
        <v>0</v>
      </c>
      <c r="Y59" s="6" t="str">
        <f t="shared" si="33"/>
        <v/>
      </c>
      <c r="Z59" s="4"/>
      <c r="AA59" s="4"/>
      <c r="AB59" s="5">
        <f t="shared" si="34"/>
        <v>0</v>
      </c>
      <c r="AC59" s="6" t="str">
        <f t="shared" si="35"/>
        <v/>
      </c>
      <c r="AD59" s="4"/>
      <c r="AE59" s="4"/>
      <c r="AF59" s="5">
        <f t="shared" si="36"/>
        <v>0</v>
      </c>
      <c r="AG59" s="6" t="str">
        <f t="shared" si="37"/>
        <v/>
      </c>
      <c r="AH59" s="4"/>
      <c r="AI59" s="4"/>
      <c r="AJ59" s="5">
        <f t="shared" si="38"/>
        <v>0</v>
      </c>
      <c r="AK59" s="6" t="str">
        <f t="shared" si="39"/>
        <v/>
      </c>
      <c r="AL59" s="5">
        <f t="shared" si="40"/>
        <v>0</v>
      </c>
      <c r="AM59" s="5">
        <f t="shared" si="41"/>
        <v>0</v>
      </c>
      <c r="AN59" s="5">
        <f t="shared" si="42"/>
        <v>0</v>
      </c>
      <c r="AO59" s="6" t="str">
        <f t="shared" si="43"/>
        <v/>
      </c>
    </row>
    <row r="60" spans="1:41" x14ac:dyDescent="0.25">
      <c r="A60" s="3" t="s">
        <v>67</v>
      </c>
      <c r="B60" s="4"/>
      <c r="C60" s="5">
        <f>350</f>
        <v>350</v>
      </c>
      <c r="D60" s="5">
        <f t="shared" si="22"/>
        <v>-350</v>
      </c>
      <c r="E60" s="6">
        <f t="shared" si="23"/>
        <v>0</v>
      </c>
      <c r="F60" s="4"/>
      <c r="G60" s="5">
        <f>0</f>
        <v>0</v>
      </c>
      <c r="H60" s="5">
        <f t="shared" si="24"/>
        <v>0</v>
      </c>
      <c r="I60" s="6" t="str">
        <f t="shared" si="25"/>
        <v/>
      </c>
      <c r="J60" s="4"/>
      <c r="K60" s="5">
        <f>0</f>
        <v>0</v>
      </c>
      <c r="L60" s="5">
        <f t="shared" si="26"/>
        <v>0</v>
      </c>
      <c r="M60" s="6" t="str">
        <f t="shared" si="27"/>
        <v/>
      </c>
      <c r="N60" s="4"/>
      <c r="O60" s="5">
        <f>350</f>
        <v>350</v>
      </c>
      <c r="P60" s="5">
        <f t="shared" si="28"/>
        <v>-350</v>
      </c>
      <c r="Q60" s="6">
        <f t="shared" si="29"/>
        <v>0</v>
      </c>
      <c r="R60" s="5">
        <f>700</f>
        <v>700</v>
      </c>
      <c r="S60" s="5">
        <f>0</f>
        <v>0</v>
      </c>
      <c r="T60" s="5">
        <f t="shared" si="30"/>
        <v>700</v>
      </c>
      <c r="U60" s="6" t="str">
        <f t="shared" si="31"/>
        <v/>
      </c>
      <c r="V60" s="4"/>
      <c r="W60" s="5">
        <f>0</f>
        <v>0</v>
      </c>
      <c r="X60" s="5">
        <f t="shared" si="32"/>
        <v>0</v>
      </c>
      <c r="Y60" s="6" t="str">
        <f t="shared" si="33"/>
        <v/>
      </c>
      <c r="Z60" s="4"/>
      <c r="AA60" s="5">
        <f>350</f>
        <v>350</v>
      </c>
      <c r="AB60" s="5">
        <f t="shared" si="34"/>
        <v>-350</v>
      </c>
      <c r="AC60" s="6">
        <f t="shared" si="35"/>
        <v>0</v>
      </c>
      <c r="AD60" s="4"/>
      <c r="AE60" s="5">
        <f>0</f>
        <v>0</v>
      </c>
      <c r="AF60" s="5">
        <f t="shared" si="36"/>
        <v>0</v>
      </c>
      <c r="AG60" s="6" t="str">
        <f t="shared" si="37"/>
        <v/>
      </c>
      <c r="AH60" s="4"/>
      <c r="AI60" s="5">
        <f>0</f>
        <v>0</v>
      </c>
      <c r="AJ60" s="5">
        <f t="shared" si="38"/>
        <v>0</v>
      </c>
      <c r="AK60" s="6" t="str">
        <f t="shared" si="39"/>
        <v/>
      </c>
      <c r="AL60" s="5">
        <f t="shared" si="40"/>
        <v>700</v>
      </c>
      <c r="AM60" s="5">
        <f t="shared" si="41"/>
        <v>1050</v>
      </c>
      <c r="AN60" s="5">
        <f t="shared" si="42"/>
        <v>-350</v>
      </c>
      <c r="AO60" s="6">
        <f t="shared" si="43"/>
        <v>0.66666666666666663</v>
      </c>
    </row>
    <row r="61" spans="1:41" x14ac:dyDescent="0.25">
      <c r="A61" s="3" t="s">
        <v>68</v>
      </c>
      <c r="B61" s="4"/>
      <c r="C61" s="5">
        <f>0</f>
        <v>0</v>
      </c>
      <c r="D61" s="5">
        <f t="shared" si="22"/>
        <v>0</v>
      </c>
      <c r="E61" s="6" t="str">
        <f t="shared" si="23"/>
        <v/>
      </c>
      <c r="F61" s="4"/>
      <c r="G61" s="5">
        <f>1600</f>
        <v>1600</v>
      </c>
      <c r="H61" s="5">
        <f t="shared" si="24"/>
        <v>-1600</v>
      </c>
      <c r="I61" s="6">
        <f t="shared" si="25"/>
        <v>0</v>
      </c>
      <c r="J61" s="4"/>
      <c r="K61" s="5">
        <f>0</f>
        <v>0</v>
      </c>
      <c r="L61" s="5">
        <f t="shared" si="26"/>
        <v>0</v>
      </c>
      <c r="M61" s="6" t="str">
        <f t="shared" si="27"/>
        <v/>
      </c>
      <c r="N61" s="5">
        <f>1650</f>
        <v>1650</v>
      </c>
      <c r="O61" s="5">
        <f>0</f>
        <v>0</v>
      </c>
      <c r="P61" s="5">
        <f t="shared" si="28"/>
        <v>1650</v>
      </c>
      <c r="Q61" s="6" t="str">
        <f t="shared" si="29"/>
        <v/>
      </c>
      <c r="R61" s="4"/>
      <c r="S61" s="5">
        <f>0</f>
        <v>0</v>
      </c>
      <c r="T61" s="5">
        <f t="shared" si="30"/>
        <v>0</v>
      </c>
      <c r="U61" s="6" t="str">
        <f t="shared" si="31"/>
        <v/>
      </c>
      <c r="V61" s="4"/>
      <c r="W61" s="5">
        <f>0</f>
        <v>0</v>
      </c>
      <c r="X61" s="5">
        <f t="shared" si="32"/>
        <v>0</v>
      </c>
      <c r="Y61" s="6" t="str">
        <f t="shared" si="33"/>
        <v/>
      </c>
      <c r="Z61" s="4"/>
      <c r="AA61" s="5">
        <f>0</f>
        <v>0</v>
      </c>
      <c r="AB61" s="5">
        <f t="shared" si="34"/>
        <v>0</v>
      </c>
      <c r="AC61" s="6" t="str">
        <f t="shared" si="35"/>
        <v/>
      </c>
      <c r="AD61" s="4"/>
      <c r="AE61" s="5">
        <f>0</f>
        <v>0</v>
      </c>
      <c r="AF61" s="5">
        <f t="shared" si="36"/>
        <v>0</v>
      </c>
      <c r="AG61" s="6" t="str">
        <f t="shared" si="37"/>
        <v/>
      </c>
      <c r="AH61" s="4"/>
      <c r="AI61" s="5">
        <f>0</f>
        <v>0</v>
      </c>
      <c r="AJ61" s="5">
        <f t="shared" si="38"/>
        <v>0</v>
      </c>
      <c r="AK61" s="6" t="str">
        <f t="shared" si="39"/>
        <v/>
      </c>
      <c r="AL61" s="5">
        <f t="shared" si="40"/>
        <v>1650</v>
      </c>
      <c r="AM61" s="5">
        <f t="shared" si="41"/>
        <v>1600</v>
      </c>
      <c r="AN61" s="5">
        <f t="shared" si="42"/>
        <v>50</v>
      </c>
      <c r="AO61" s="6">
        <f t="shared" si="43"/>
        <v>1.03125</v>
      </c>
    </row>
    <row r="62" spans="1:41" x14ac:dyDescent="0.25">
      <c r="A62" s="3" t="s">
        <v>69</v>
      </c>
      <c r="B62" s="5">
        <f>160</f>
        <v>160</v>
      </c>
      <c r="C62" s="5">
        <f>185</f>
        <v>185</v>
      </c>
      <c r="D62" s="5">
        <f t="shared" si="22"/>
        <v>-25</v>
      </c>
      <c r="E62" s="6">
        <f t="shared" si="23"/>
        <v>0.86486486486486491</v>
      </c>
      <c r="F62" s="5">
        <f>185</f>
        <v>185</v>
      </c>
      <c r="G62" s="5">
        <f>185</f>
        <v>185</v>
      </c>
      <c r="H62" s="5">
        <f t="shared" si="24"/>
        <v>0</v>
      </c>
      <c r="I62" s="6">
        <f t="shared" si="25"/>
        <v>1</v>
      </c>
      <c r="J62" s="5">
        <f>200</f>
        <v>200</v>
      </c>
      <c r="K62" s="5">
        <f>185</f>
        <v>185</v>
      </c>
      <c r="L62" s="5">
        <f t="shared" si="26"/>
        <v>15</v>
      </c>
      <c r="M62" s="6">
        <f t="shared" si="27"/>
        <v>1.0810810810810811</v>
      </c>
      <c r="N62" s="5">
        <f>210</f>
        <v>210</v>
      </c>
      <c r="O62" s="5">
        <f>185</f>
        <v>185</v>
      </c>
      <c r="P62" s="5">
        <f t="shared" si="28"/>
        <v>25</v>
      </c>
      <c r="Q62" s="6">
        <f t="shared" si="29"/>
        <v>1.1351351351351351</v>
      </c>
      <c r="R62" s="5">
        <f>175</f>
        <v>175</v>
      </c>
      <c r="S62" s="5">
        <f>185</f>
        <v>185</v>
      </c>
      <c r="T62" s="5">
        <f t="shared" si="30"/>
        <v>-10</v>
      </c>
      <c r="U62" s="6">
        <f t="shared" si="31"/>
        <v>0.94594594594594594</v>
      </c>
      <c r="V62" s="5">
        <f>217</f>
        <v>217</v>
      </c>
      <c r="W62" s="5">
        <f>185</f>
        <v>185</v>
      </c>
      <c r="X62" s="5">
        <f t="shared" si="32"/>
        <v>32</v>
      </c>
      <c r="Y62" s="6">
        <f t="shared" si="33"/>
        <v>1.172972972972973</v>
      </c>
      <c r="Z62" s="5">
        <f>271</f>
        <v>271</v>
      </c>
      <c r="AA62" s="5">
        <f>185</f>
        <v>185</v>
      </c>
      <c r="AB62" s="5">
        <f t="shared" si="34"/>
        <v>86</v>
      </c>
      <c r="AC62" s="6">
        <f t="shared" si="35"/>
        <v>1.4648648648648648</v>
      </c>
      <c r="AD62" s="5">
        <f>241.5</f>
        <v>241.5</v>
      </c>
      <c r="AE62" s="5">
        <f>185</f>
        <v>185</v>
      </c>
      <c r="AF62" s="5">
        <f t="shared" si="36"/>
        <v>56.5</v>
      </c>
      <c r="AG62" s="6">
        <f t="shared" si="37"/>
        <v>1.3054054054054054</v>
      </c>
      <c r="AH62" s="5">
        <f>218</f>
        <v>218</v>
      </c>
      <c r="AI62" s="5">
        <f>185</f>
        <v>185</v>
      </c>
      <c r="AJ62" s="5">
        <f t="shared" si="38"/>
        <v>33</v>
      </c>
      <c r="AK62" s="6">
        <f t="shared" si="39"/>
        <v>1.1783783783783783</v>
      </c>
      <c r="AL62" s="5">
        <f t="shared" si="40"/>
        <v>1877.5</v>
      </c>
      <c r="AM62" s="5">
        <f t="shared" si="41"/>
        <v>1665</v>
      </c>
      <c r="AN62" s="5">
        <f t="shared" si="42"/>
        <v>212.5</v>
      </c>
      <c r="AO62" s="6">
        <f t="shared" si="43"/>
        <v>1.1276276276276276</v>
      </c>
    </row>
    <row r="63" spans="1:41" x14ac:dyDescent="0.25">
      <c r="A63" s="3" t="s">
        <v>70</v>
      </c>
      <c r="B63" s="5">
        <f>208.07</f>
        <v>208.07</v>
      </c>
      <c r="C63" s="5">
        <f>600</f>
        <v>600</v>
      </c>
      <c r="D63" s="5">
        <f t="shared" si="22"/>
        <v>-391.93</v>
      </c>
      <c r="E63" s="6">
        <f t="shared" si="23"/>
        <v>0.34678333333333333</v>
      </c>
      <c r="F63" s="4"/>
      <c r="G63" s="5">
        <f>600</f>
        <v>600</v>
      </c>
      <c r="H63" s="5">
        <f t="shared" si="24"/>
        <v>-600</v>
      </c>
      <c r="I63" s="6">
        <f t="shared" si="25"/>
        <v>0</v>
      </c>
      <c r="J63" s="5">
        <f>17176.45</f>
        <v>17176.45</v>
      </c>
      <c r="K63" s="5">
        <f>600</f>
        <v>600</v>
      </c>
      <c r="L63" s="5">
        <f t="shared" si="26"/>
        <v>16576.45</v>
      </c>
      <c r="M63" s="6">
        <f t="shared" si="27"/>
        <v>28.627416666666669</v>
      </c>
      <c r="N63" s="4"/>
      <c r="O63" s="5">
        <f>600</f>
        <v>600</v>
      </c>
      <c r="P63" s="5">
        <f t="shared" si="28"/>
        <v>-600</v>
      </c>
      <c r="Q63" s="6">
        <f t="shared" si="29"/>
        <v>0</v>
      </c>
      <c r="R63" s="4"/>
      <c r="S63" s="5">
        <f>600</f>
        <v>600</v>
      </c>
      <c r="T63" s="5">
        <f t="shared" si="30"/>
        <v>-600</v>
      </c>
      <c r="U63" s="6">
        <f t="shared" si="31"/>
        <v>0</v>
      </c>
      <c r="V63" s="5">
        <f>267.5</f>
        <v>267.5</v>
      </c>
      <c r="W63" s="5">
        <f>600</f>
        <v>600</v>
      </c>
      <c r="X63" s="5">
        <f t="shared" si="32"/>
        <v>-332.5</v>
      </c>
      <c r="Y63" s="6">
        <f t="shared" si="33"/>
        <v>0.44583333333333336</v>
      </c>
      <c r="Z63" s="4"/>
      <c r="AA63" s="5">
        <f>600</f>
        <v>600</v>
      </c>
      <c r="AB63" s="5">
        <f t="shared" si="34"/>
        <v>-600</v>
      </c>
      <c r="AC63" s="6">
        <f t="shared" si="35"/>
        <v>0</v>
      </c>
      <c r="AD63" s="4"/>
      <c r="AE63" s="5">
        <f>600</f>
        <v>600</v>
      </c>
      <c r="AF63" s="5">
        <f t="shared" si="36"/>
        <v>-600</v>
      </c>
      <c r="AG63" s="6">
        <f t="shared" si="37"/>
        <v>0</v>
      </c>
      <c r="AH63" s="5">
        <f>600</f>
        <v>600</v>
      </c>
      <c r="AI63" s="5">
        <f>600</f>
        <v>600</v>
      </c>
      <c r="AJ63" s="5">
        <f t="shared" si="38"/>
        <v>0</v>
      </c>
      <c r="AK63" s="6">
        <f t="shared" si="39"/>
        <v>1</v>
      </c>
      <c r="AL63" s="5">
        <f t="shared" si="40"/>
        <v>18252.02</v>
      </c>
      <c r="AM63" s="5">
        <f t="shared" si="41"/>
        <v>5400</v>
      </c>
      <c r="AN63" s="5">
        <f t="shared" si="42"/>
        <v>12852.02</v>
      </c>
      <c r="AO63" s="6">
        <f t="shared" si="43"/>
        <v>3.3800037037037036</v>
      </c>
    </row>
    <row r="64" spans="1:41" x14ac:dyDescent="0.25">
      <c r="A64" s="3" t="s">
        <v>71</v>
      </c>
      <c r="B64" s="5">
        <f>630</f>
        <v>630</v>
      </c>
      <c r="C64" s="5">
        <f>0</f>
        <v>0</v>
      </c>
      <c r="D64" s="5">
        <f t="shared" si="22"/>
        <v>630</v>
      </c>
      <c r="E64" s="6" t="str">
        <f t="shared" si="23"/>
        <v/>
      </c>
      <c r="F64" s="5">
        <f>600</f>
        <v>600</v>
      </c>
      <c r="G64" s="5">
        <f>7000</f>
        <v>7000</v>
      </c>
      <c r="H64" s="5">
        <f t="shared" si="24"/>
        <v>-6400</v>
      </c>
      <c r="I64" s="6">
        <f t="shared" si="25"/>
        <v>8.5714285714285715E-2</v>
      </c>
      <c r="J64" s="5">
        <f>600</f>
        <v>600</v>
      </c>
      <c r="K64" s="5">
        <f>0</f>
        <v>0</v>
      </c>
      <c r="L64" s="5">
        <f t="shared" si="26"/>
        <v>600</v>
      </c>
      <c r="M64" s="6" t="str">
        <f t="shared" si="27"/>
        <v/>
      </c>
      <c r="N64" s="5">
        <f>600</f>
        <v>600</v>
      </c>
      <c r="O64" s="5">
        <f>0</f>
        <v>0</v>
      </c>
      <c r="P64" s="5">
        <f t="shared" si="28"/>
        <v>600</v>
      </c>
      <c r="Q64" s="6" t="str">
        <f t="shared" si="29"/>
        <v/>
      </c>
      <c r="R64" s="5">
        <f>600</f>
        <v>600</v>
      </c>
      <c r="S64" s="5">
        <f>0</f>
        <v>0</v>
      </c>
      <c r="T64" s="5">
        <f t="shared" si="30"/>
        <v>600</v>
      </c>
      <c r="U64" s="6" t="str">
        <f t="shared" si="31"/>
        <v/>
      </c>
      <c r="V64" s="5">
        <f>600</f>
        <v>600</v>
      </c>
      <c r="W64" s="5">
        <f>0</f>
        <v>0</v>
      </c>
      <c r="X64" s="5">
        <f t="shared" si="32"/>
        <v>600</v>
      </c>
      <c r="Y64" s="6" t="str">
        <f t="shared" si="33"/>
        <v/>
      </c>
      <c r="Z64" s="4"/>
      <c r="AA64" s="5">
        <f>0</f>
        <v>0</v>
      </c>
      <c r="AB64" s="5">
        <f t="shared" si="34"/>
        <v>0</v>
      </c>
      <c r="AC64" s="6" t="str">
        <f t="shared" si="35"/>
        <v/>
      </c>
      <c r="AD64" s="5">
        <f>1280</f>
        <v>1280</v>
      </c>
      <c r="AE64" s="5">
        <f>0</f>
        <v>0</v>
      </c>
      <c r="AF64" s="5">
        <f t="shared" si="36"/>
        <v>1280</v>
      </c>
      <c r="AG64" s="6" t="str">
        <f t="shared" si="37"/>
        <v/>
      </c>
      <c r="AH64" s="5">
        <f>840</f>
        <v>840</v>
      </c>
      <c r="AI64" s="5">
        <f>0</f>
        <v>0</v>
      </c>
      <c r="AJ64" s="5">
        <f t="shared" si="38"/>
        <v>840</v>
      </c>
      <c r="AK64" s="6" t="str">
        <f t="shared" si="39"/>
        <v/>
      </c>
      <c r="AL64" s="5">
        <f t="shared" si="40"/>
        <v>5750</v>
      </c>
      <c r="AM64" s="5">
        <f t="shared" si="41"/>
        <v>7000</v>
      </c>
      <c r="AN64" s="5">
        <f t="shared" si="42"/>
        <v>-1250</v>
      </c>
      <c r="AO64" s="6">
        <f t="shared" si="43"/>
        <v>0.8214285714285714</v>
      </c>
    </row>
    <row r="65" spans="1:41" x14ac:dyDescent="0.25">
      <c r="A65" s="3" t="s">
        <v>72</v>
      </c>
      <c r="B65" s="7">
        <f>(((((B59)+(B60))+(B61))+(B62))+(B63))+(B64)</f>
        <v>998.06999999999994</v>
      </c>
      <c r="C65" s="7">
        <f>(((((C59)+(C60))+(C61))+(C62))+(C63))+(C64)</f>
        <v>1135</v>
      </c>
      <c r="D65" s="7">
        <f t="shared" si="22"/>
        <v>-136.93000000000006</v>
      </c>
      <c r="E65" s="8">
        <f t="shared" si="23"/>
        <v>0.87935682819383254</v>
      </c>
      <c r="F65" s="7">
        <f>(((((F59)+(F60))+(F61))+(F62))+(F63))+(F64)</f>
        <v>785</v>
      </c>
      <c r="G65" s="7">
        <f>(((((G59)+(G60))+(G61))+(G62))+(G63))+(G64)</f>
        <v>9385</v>
      </c>
      <c r="H65" s="7">
        <f t="shared" si="24"/>
        <v>-8600</v>
      </c>
      <c r="I65" s="8">
        <f t="shared" si="25"/>
        <v>8.364411294619073E-2</v>
      </c>
      <c r="J65" s="7">
        <f>(((((J59)+(J60))+(J61))+(J62))+(J63))+(J64)</f>
        <v>17976.45</v>
      </c>
      <c r="K65" s="7">
        <f>(((((K59)+(K60))+(K61))+(K62))+(K63))+(K64)</f>
        <v>785</v>
      </c>
      <c r="L65" s="7">
        <f t="shared" si="26"/>
        <v>17191.45</v>
      </c>
      <c r="M65" s="8">
        <f t="shared" si="27"/>
        <v>22.899936305732485</v>
      </c>
      <c r="N65" s="7">
        <f>(((((N59)+(N60))+(N61))+(N62))+(N63))+(N64)</f>
        <v>2460</v>
      </c>
      <c r="O65" s="7">
        <f>(((((O59)+(O60))+(O61))+(O62))+(O63))+(O64)</f>
        <v>1135</v>
      </c>
      <c r="P65" s="7">
        <f t="shared" si="28"/>
        <v>1325</v>
      </c>
      <c r="Q65" s="8">
        <f t="shared" si="29"/>
        <v>2.1674008810572687</v>
      </c>
      <c r="R65" s="7">
        <f>(((((R59)+(R60))+(R61))+(R62))+(R63))+(R64)</f>
        <v>1475</v>
      </c>
      <c r="S65" s="7">
        <f>(((((S59)+(S60))+(S61))+(S62))+(S63))+(S64)</f>
        <v>785</v>
      </c>
      <c r="T65" s="7">
        <f t="shared" si="30"/>
        <v>690</v>
      </c>
      <c r="U65" s="8">
        <f t="shared" si="31"/>
        <v>1.8789808917197452</v>
      </c>
      <c r="V65" s="7">
        <f>(((((V59)+(V60))+(V61))+(V62))+(V63))+(V64)</f>
        <v>1084.5</v>
      </c>
      <c r="W65" s="7">
        <f>(((((W59)+(W60))+(W61))+(W62))+(W63))+(W64)</f>
        <v>785</v>
      </c>
      <c r="X65" s="7">
        <f t="shared" si="32"/>
        <v>299.5</v>
      </c>
      <c r="Y65" s="8">
        <f t="shared" si="33"/>
        <v>1.3815286624203822</v>
      </c>
      <c r="Z65" s="7">
        <f>(((((Z59)+(Z60))+(Z61))+(Z62))+(Z63))+(Z64)</f>
        <v>271</v>
      </c>
      <c r="AA65" s="7">
        <f>(((((AA59)+(AA60))+(AA61))+(AA62))+(AA63))+(AA64)</f>
        <v>1135</v>
      </c>
      <c r="AB65" s="7">
        <f t="shared" si="34"/>
        <v>-864</v>
      </c>
      <c r="AC65" s="8">
        <f t="shared" si="35"/>
        <v>0.23876651982378855</v>
      </c>
      <c r="AD65" s="7">
        <f>(((((AD59)+(AD60))+(AD61))+(AD62))+(AD63))+(AD64)</f>
        <v>1521.5</v>
      </c>
      <c r="AE65" s="7">
        <f>(((((AE59)+(AE60))+(AE61))+(AE62))+(AE63))+(AE64)</f>
        <v>785</v>
      </c>
      <c r="AF65" s="7">
        <f t="shared" si="36"/>
        <v>736.5</v>
      </c>
      <c r="AG65" s="8">
        <f t="shared" si="37"/>
        <v>1.938216560509554</v>
      </c>
      <c r="AH65" s="7">
        <f>(((((AH59)+(AH60))+(AH61))+(AH62))+(AH63))+(AH64)</f>
        <v>1658</v>
      </c>
      <c r="AI65" s="7">
        <f>(((((AI59)+(AI60))+(AI61))+(AI62))+(AI63))+(AI64)</f>
        <v>785</v>
      </c>
      <c r="AJ65" s="7">
        <f t="shared" si="38"/>
        <v>873</v>
      </c>
      <c r="AK65" s="8">
        <f t="shared" si="39"/>
        <v>2.1121019108280255</v>
      </c>
      <c r="AL65" s="7">
        <f t="shared" si="40"/>
        <v>28229.52</v>
      </c>
      <c r="AM65" s="7">
        <f t="shared" si="41"/>
        <v>16715</v>
      </c>
      <c r="AN65" s="7">
        <f t="shared" si="42"/>
        <v>11514.52</v>
      </c>
      <c r="AO65" s="8">
        <f t="shared" si="43"/>
        <v>1.6888734669458569</v>
      </c>
    </row>
    <row r="66" spans="1:41" x14ac:dyDescent="0.25">
      <c r="A66" s="3" t="s">
        <v>73</v>
      </c>
      <c r="B66" s="4"/>
      <c r="C66" s="4"/>
      <c r="D66" s="5">
        <f t="shared" si="22"/>
        <v>0</v>
      </c>
      <c r="E66" s="6" t="str">
        <f t="shared" si="23"/>
        <v/>
      </c>
      <c r="F66" s="4"/>
      <c r="G66" s="4"/>
      <c r="H66" s="5">
        <f t="shared" si="24"/>
        <v>0</v>
      </c>
      <c r="I66" s="6" t="str">
        <f t="shared" si="25"/>
        <v/>
      </c>
      <c r="J66" s="4"/>
      <c r="K66" s="4"/>
      <c r="L66" s="5">
        <f t="shared" si="26"/>
        <v>0</v>
      </c>
      <c r="M66" s="6" t="str">
        <f t="shared" si="27"/>
        <v/>
      </c>
      <c r="N66" s="4"/>
      <c r="O66" s="4"/>
      <c r="P66" s="5">
        <f t="shared" si="28"/>
        <v>0</v>
      </c>
      <c r="Q66" s="6" t="str">
        <f t="shared" si="29"/>
        <v/>
      </c>
      <c r="R66" s="4"/>
      <c r="S66" s="4"/>
      <c r="T66" s="5">
        <f t="shared" si="30"/>
        <v>0</v>
      </c>
      <c r="U66" s="6" t="str">
        <f t="shared" si="31"/>
        <v/>
      </c>
      <c r="V66" s="4"/>
      <c r="W66" s="4"/>
      <c r="X66" s="5">
        <f t="shared" si="32"/>
        <v>0</v>
      </c>
      <c r="Y66" s="6" t="str">
        <f t="shared" si="33"/>
        <v/>
      </c>
      <c r="Z66" s="4"/>
      <c r="AA66" s="4"/>
      <c r="AB66" s="5">
        <f t="shared" si="34"/>
        <v>0</v>
      </c>
      <c r="AC66" s="6" t="str">
        <f t="shared" si="35"/>
        <v/>
      </c>
      <c r="AD66" s="4"/>
      <c r="AE66" s="4"/>
      <c r="AF66" s="5">
        <f t="shared" si="36"/>
        <v>0</v>
      </c>
      <c r="AG66" s="6" t="str">
        <f t="shared" si="37"/>
        <v/>
      </c>
      <c r="AH66" s="4"/>
      <c r="AI66" s="4"/>
      <c r="AJ66" s="5">
        <f t="shared" si="38"/>
        <v>0</v>
      </c>
      <c r="AK66" s="6" t="str">
        <f t="shared" si="39"/>
        <v/>
      </c>
      <c r="AL66" s="5">
        <f t="shared" si="40"/>
        <v>0</v>
      </c>
      <c r="AM66" s="5">
        <f t="shared" si="41"/>
        <v>0</v>
      </c>
      <c r="AN66" s="5">
        <f t="shared" si="42"/>
        <v>0</v>
      </c>
      <c r="AO66" s="6" t="str">
        <f t="shared" si="43"/>
        <v/>
      </c>
    </row>
    <row r="67" spans="1:41" x14ac:dyDescent="0.25">
      <c r="A67" s="3" t="s">
        <v>74</v>
      </c>
      <c r="B67" s="5">
        <f>4195.37</f>
        <v>4195.37</v>
      </c>
      <c r="C67" s="5">
        <f>4306</f>
        <v>4306</v>
      </c>
      <c r="D67" s="5">
        <f t="shared" si="22"/>
        <v>-110.63000000000011</v>
      </c>
      <c r="E67" s="6">
        <f t="shared" si="23"/>
        <v>0.9743079424059452</v>
      </c>
      <c r="F67" s="5">
        <f>4515</f>
        <v>4515</v>
      </c>
      <c r="G67" s="5">
        <f>4306</f>
        <v>4306</v>
      </c>
      <c r="H67" s="5">
        <f t="shared" si="24"/>
        <v>209</v>
      </c>
      <c r="I67" s="6">
        <f t="shared" si="25"/>
        <v>1.0485369252206225</v>
      </c>
      <c r="J67" s="5">
        <f>4515</f>
        <v>4515</v>
      </c>
      <c r="K67" s="5">
        <f>4306</f>
        <v>4306</v>
      </c>
      <c r="L67" s="5">
        <f t="shared" si="26"/>
        <v>209</v>
      </c>
      <c r="M67" s="6">
        <f t="shared" si="27"/>
        <v>1.0485369252206225</v>
      </c>
      <c r="N67" s="5">
        <f>4515</f>
        <v>4515</v>
      </c>
      <c r="O67" s="5">
        <f>4306</f>
        <v>4306</v>
      </c>
      <c r="P67" s="5">
        <f t="shared" si="28"/>
        <v>209</v>
      </c>
      <c r="Q67" s="6">
        <f t="shared" si="29"/>
        <v>1.0485369252206225</v>
      </c>
      <c r="R67" s="5">
        <f>4515</f>
        <v>4515</v>
      </c>
      <c r="S67" s="5">
        <f>4306</f>
        <v>4306</v>
      </c>
      <c r="T67" s="5">
        <f t="shared" si="30"/>
        <v>209</v>
      </c>
      <c r="U67" s="6">
        <f t="shared" si="31"/>
        <v>1.0485369252206225</v>
      </c>
      <c r="V67" s="5">
        <f>4515</f>
        <v>4515</v>
      </c>
      <c r="W67" s="5">
        <f>4300</f>
        <v>4300</v>
      </c>
      <c r="X67" s="5">
        <f t="shared" si="32"/>
        <v>215</v>
      </c>
      <c r="Y67" s="6">
        <f t="shared" si="33"/>
        <v>1.05</v>
      </c>
      <c r="Z67" s="5">
        <f>4622.5</f>
        <v>4622.5</v>
      </c>
      <c r="AA67" s="5">
        <f>4770</f>
        <v>4770</v>
      </c>
      <c r="AB67" s="5">
        <f t="shared" si="34"/>
        <v>-147.5</v>
      </c>
      <c r="AC67" s="6">
        <f t="shared" si="35"/>
        <v>0.9690775681341719</v>
      </c>
      <c r="AD67" s="5">
        <f>4770.14</f>
        <v>4770.1400000000003</v>
      </c>
      <c r="AE67" s="5">
        <f>4770</f>
        <v>4770</v>
      </c>
      <c r="AF67" s="5">
        <f t="shared" si="36"/>
        <v>0.14000000000032742</v>
      </c>
      <c r="AG67" s="6">
        <f t="shared" si="37"/>
        <v>1.0000293501048219</v>
      </c>
      <c r="AH67" s="5">
        <f>4770.14</f>
        <v>4770.1400000000003</v>
      </c>
      <c r="AI67" s="5">
        <f>4770</f>
        <v>4770</v>
      </c>
      <c r="AJ67" s="5">
        <f t="shared" si="38"/>
        <v>0.14000000000032742</v>
      </c>
      <c r="AK67" s="6">
        <f t="shared" si="39"/>
        <v>1.0000293501048219</v>
      </c>
      <c r="AL67" s="5">
        <f t="shared" si="40"/>
        <v>40933.15</v>
      </c>
      <c r="AM67" s="5">
        <f t="shared" si="41"/>
        <v>40140</v>
      </c>
      <c r="AN67" s="5">
        <f t="shared" si="42"/>
        <v>793.15000000000146</v>
      </c>
      <c r="AO67" s="6">
        <f t="shared" si="43"/>
        <v>1.0197595914299951</v>
      </c>
    </row>
    <row r="68" spans="1:41" x14ac:dyDescent="0.25">
      <c r="A68" s="3" t="s">
        <v>75</v>
      </c>
      <c r="B68" s="4"/>
      <c r="C68" s="5">
        <f>0</f>
        <v>0</v>
      </c>
      <c r="D68" s="5">
        <f t="shared" si="22"/>
        <v>0</v>
      </c>
      <c r="E68" s="6" t="str">
        <f t="shared" si="23"/>
        <v/>
      </c>
      <c r="F68" s="4"/>
      <c r="G68" s="5">
        <f>0</f>
        <v>0</v>
      </c>
      <c r="H68" s="5">
        <f t="shared" si="24"/>
        <v>0</v>
      </c>
      <c r="I68" s="6" t="str">
        <f t="shared" si="25"/>
        <v/>
      </c>
      <c r="J68" s="4"/>
      <c r="K68" s="5">
        <f>1500</f>
        <v>1500</v>
      </c>
      <c r="L68" s="5">
        <f t="shared" si="26"/>
        <v>-1500</v>
      </c>
      <c r="M68" s="6">
        <f t="shared" si="27"/>
        <v>0</v>
      </c>
      <c r="N68" s="4"/>
      <c r="O68" s="5">
        <f>0</f>
        <v>0</v>
      </c>
      <c r="P68" s="5">
        <f t="shared" si="28"/>
        <v>0</v>
      </c>
      <c r="Q68" s="6" t="str">
        <f t="shared" si="29"/>
        <v/>
      </c>
      <c r="R68" s="4"/>
      <c r="S68" s="5">
        <f>0</f>
        <v>0</v>
      </c>
      <c r="T68" s="5">
        <f t="shared" si="30"/>
        <v>0</v>
      </c>
      <c r="U68" s="6" t="str">
        <f t="shared" si="31"/>
        <v/>
      </c>
      <c r="V68" s="4"/>
      <c r="W68" s="5">
        <f>0</f>
        <v>0</v>
      </c>
      <c r="X68" s="5">
        <f t="shared" si="32"/>
        <v>0</v>
      </c>
      <c r="Y68" s="6" t="str">
        <f t="shared" si="33"/>
        <v/>
      </c>
      <c r="Z68" s="5">
        <f>419.16</f>
        <v>419.16</v>
      </c>
      <c r="AA68" s="5">
        <f>0</f>
        <v>0</v>
      </c>
      <c r="AB68" s="5">
        <f t="shared" si="34"/>
        <v>419.16</v>
      </c>
      <c r="AC68" s="6" t="str">
        <f t="shared" si="35"/>
        <v/>
      </c>
      <c r="AD68" s="4"/>
      <c r="AE68" s="5">
        <f>0</f>
        <v>0</v>
      </c>
      <c r="AF68" s="5">
        <f t="shared" si="36"/>
        <v>0</v>
      </c>
      <c r="AG68" s="6" t="str">
        <f t="shared" si="37"/>
        <v/>
      </c>
      <c r="AH68" s="4"/>
      <c r="AI68" s="5">
        <f>1500</f>
        <v>1500</v>
      </c>
      <c r="AJ68" s="5">
        <f t="shared" si="38"/>
        <v>-1500</v>
      </c>
      <c r="AK68" s="6">
        <f t="shared" si="39"/>
        <v>0</v>
      </c>
      <c r="AL68" s="5">
        <f t="shared" si="40"/>
        <v>419.16</v>
      </c>
      <c r="AM68" s="5">
        <f t="shared" si="41"/>
        <v>3000</v>
      </c>
      <c r="AN68" s="5">
        <f t="shared" si="42"/>
        <v>-2580.84</v>
      </c>
      <c r="AO68" s="6">
        <f t="shared" si="43"/>
        <v>0.13972000000000001</v>
      </c>
    </row>
    <row r="69" spans="1:41" x14ac:dyDescent="0.25">
      <c r="A69" s="3" t="s">
        <v>76</v>
      </c>
      <c r="B69" s="5">
        <f>3103</f>
        <v>3103</v>
      </c>
      <c r="C69" s="5">
        <f>600</f>
        <v>600</v>
      </c>
      <c r="D69" s="5">
        <f t="shared" si="22"/>
        <v>2503</v>
      </c>
      <c r="E69" s="6">
        <f t="shared" si="23"/>
        <v>5.1716666666666669</v>
      </c>
      <c r="F69" s="5">
        <f>1350</f>
        <v>1350</v>
      </c>
      <c r="G69" s="5">
        <f>600</f>
        <v>600</v>
      </c>
      <c r="H69" s="5">
        <f t="shared" si="24"/>
        <v>750</v>
      </c>
      <c r="I69" s="6">
        <f t="shared" si="25"/>
        <v>2.25</v>
      </c>
      <c r="J69" s="4"/>
      <c r="K69" s="5">
        <f>600</f>
        <v>600</v>
      </c>
      <c r="L69" s="5">
        <f t="shared" si="26"/>
        <v>-600</v>
      </c>
      <c r="M69" s="6">
        <f t="shared" si="27"/>
        <v>0</v>
      </c>
      <c r="N69" s="5">
        <f>1147.57</f>
        <v>1147.57</v>
      </c>
      <c r="O69" s="5">
        <f>600</f>
        <v>600</v>
      </c>
      <c r="P69" s="5">
        <f t="shared" si="28"/>
        <v>547.56999999999994</v>
      </c>
      <c r="Q69" s="6">
        <f t="shared" si="29"/>
        <v>1.9126166666666666</v>
      </c>
      <c r="R69" s="5">
        <f>67.9</f>
        <v>67.900000000000006</v>
      </c>
      <c r="S69" s="5">
        <f>600</f>
        <v>600</v>
      </c>
      <c r="T69" s="5">
        <f t="shared" si="30"/>
        <v>-532.1</v>
      </c>
      <c r="U69" s="6">
        <f t="shared" si="31"/>
        <v>0.11316666666666668</v>
      </c>
      <c r="V69" s="4"/>
      <c r="W69" s="5">
        <f>600</f>
        <v>600</v>
      </c>
      <c r="X69" s="5">
        <f t="shared" si="32"/>
        <v>-600</v>
      </c>
      <c r="Y69" s="6">
        <f t="shared" si="33"/>
        <v>0</v>
      </c>
      <c r="Z69" s="5">
        <f>820.3</f>
        <v>820.3</v>
      </c>
      <c r="AA69" s="5">
        <f>5600</f>
        <v>5600</v>
      </c>
      <c r="AB69" s="5">
        <f t="shared" si="34"/>
        <v>-4779.7</v>
      </c>
      <c r="AC69" s="6">
        <f t="shared" si="35"/>
        <v>0.14648214285714284</v>
      </c>
      <c r="AD69" s="5">
        <f>562.5</f>
        <v>562.5</v>
      </c>
      <c r="AE69" s="5">
        <f>600</f>
        <v>600</v>
      </c>
      <c r="AF69" s="5">
        <f t="shared" si="36"/>
        <v>-37.5</v>
      </c>
      <c r="AG69" s="6">
        <f t="shared" si="37"/>
        <v>0.9375</v>
      </c>
      <c r="AH69" s="5">
        <f>736.88</f>
        <v>736.88</v>
      </c>
      <c r="AI69" s="5">
        <f>5600</f>
        <v>5600</v>
      </c>
      <c r="AJ69" s="5">
        <f t="shared" si="38"/>
        <v>-4863.12</v>
      </c>
      <c r="AK69" s="6">
        <f t="shared" si="39"/>
        <v>0.13158571428571428</v>
      </c>
      <c r="AL69" s="5">
        <f t="shared" si="40"/>
        <v>7788.15</v>
      </c>
      <c r="AM69" s="5">
        <f t="shared" si="41"/>
        <v>15400</v>
      </c>
      <c r="AN69" s="5">
        <f t="shared" si="42"/>
        <v>-7611.85</v>
      </c>
      <c r="AO69" s="6">
        <f t="shared" si="43"/>
        <v>0.50572402597402599</v>
      </c>
    </row>
    <row r="70" spans="1:41" x14ac:dyDescent="0.25">
      <c r="A70" s="3" t="s">
        <v>77</v>
      </c>
      <c r="B70" s="4"/>
      <c r="C70" s="5">
        <f>0</f>
        <v>0</v>
      </c>
      <c r="D70" s="5">
        <f t="shared" si="22"/>
        <v>0</v>
      </c>
      <c r="E70" s="6" t="str">
        <f t="shared" si="23"/>
        <v/>
      </c>
      <c r="F70" s="5">
        <f>300</f>
        <v>300</v>
      </c>
      <c r="G70" s="5">
        <f>0</f>
        <v>0</v>
      </c>
      <c r="H70" s="5">
        <f t="shared" si="24"/>
        <v>300</v>
      </c>
      <c r="I70" s="6" t="str">
        <f t="shared" si="25"/>
        <v/>
      </c>
      <c r="J70" s="4"/>
      <c r="K70" s="5">
        <f>200</f>
        <v>200</v>
      </c>
      <c r="L70" s="5">
        <f t="shared" si="26"/>
        <v>-200</v>
      </c>
      <c r="M70" s="6">
        <f t="shared" si="27"/>
        <v>0</v>
      </c>
      <c r="N70" s="4"/>
      <c r="O70" s="5">
        <f>0</f>
        <v>0</v>
      </c>
      <c r="P70" s="5">
        <f t="shared" si="28"/>
        <v>0</v>
      </c>
      <c r="Q70" s="6" t="str">
        <f t="shared" si="29"/>
        <v/>
      </c>
      <c r="R70" s="4"/>
      <c r="S70" s="5">
        <f>0</f>
        <v>0</v>
      </c>
      <c r="T70" s="5">
        <f t="shared" si="30"/>
        <v>0</v>
      </c>
      <c r="U70" s="6" t="str">
        <f t="shared" si="31"/>
        <v/>
      </c>
      <c r="V70" s="4"/>
      <c r="W70" s="5">
        <f>0</f>
        <v>0</v>
      </c>
      <c r="X70" s="5">
        <f t="shared" si="32"/>
        <v>0</v>
      </c>
      <c r="Y70" s="6" t="str">
        <f t="shared" si="33"/>
        <v/>
      </c>
      <c r="Z70" s="4"/>
      <c r="AA70" s="5">
        <f>200</f>
        <v>200</v>
      </c>
      <c r="AB70" s="5">
        <f t="shared" si="34"/>
        <v>-200</v>
      </c>
      <c r="AC70" s="6">
        <f t="shared" si="35"/>
        <v>0</v>
      </c>
      <c r="AD70" s="4"/>
      <c r="AE70" s="5">
        <f>0</f>
        <v>0</v>
      </c>
      <c r="AF70" s="5">
        <f t="shared" si="36"/>
        <v>0</v>
      </c>
      <c r="AG70" s="6" t="str">
        <f t="shared" si="37"/>
        <v/>
      </c>
      <c r="AH70" s="4"/>
      <c r="AI70" s="5">
        <f>0</f>
        <v>0</v>
      </c>
      <c r="AJ70" s="5">
        <f t="shared" si="38"/>
        <v>0</v>
      </c>
      <c r="AK70" s="6" t="str">
        <f t="shared" si="39"/>
        <v/>
      </c>
      <c r="AL70" s="5">
        <f t="shared" si="40"/>
        <v>300</v>
      </c>
      <c r="AM70" s="5">
        <f t="shared" si="41"/>
        <v>400</v>
      </c>
      <c r="AN70" s="5">
        <f t="shared" si="42"/>
        <v>-100</v>
      </c>
      <c r="AO70" s="6">
        <f t="shared" si="43"/>
        <v>0.75</v>
      </c>
    </row>
    <row r="71" spans="1:41" x14ac:dyDescent="0.25">
      <c r="A71" s="3" t="s">
        <v>78</v>
      </c>
      <c r="B71" s="5">
        <f>6100</f>
        <v>6100</v>
      </c>
      <c r="C71" s="5">
        <f>0</f>
        <v>0</v>
      </c>
      <c r="D71" s="5">
        <f t="shared" si="22"/>
        <v>6100</v>
      </c>
      <c r="E71" s="6" t="str">
        <f t="shared" si="23"/>
        <v/>
      </c>
      <c r="F71" s="4"/>
      <c r="G71" s="5">
        <f>0</f>
        <v>0</v>
      </c>
      <c r="H71" s="5">
        <f t="shared" si="24"/>
        <v>0</v>
      </c>
      <c r="I71" s="6" t="str">
        <f t="shared" si="25"/>
        <v/>
      </c>
      <c r="J71" s="4"/>
      <c r="K71" s="5">
        <f>0</f>
        <v>0</v>
      </c>
      <c r="L71" s="5">
        <f t="shared" si="26"/>
        <v>0</v>
      </c>
      <c r="M71" s="6" t="str">
        <f t="shared" si="27"/>
        <v/>
      </c>
      <c r="N71" s="4"/>
      <c r="O71" s="5">
        <f>0</f>
        <v>0</v>
      </c>
      <c r="P71" s="5">
        <f t="shared" si="28"/>
        <v>0</v>
      </c>
      <c r="Q71" s="6" t="str">
        <f t="shared" si="29"/>
        <v/>
      </c>
      <c r="R71" s="4"/>
      <c r="S71" s="5">
        <f>0</f>
        <v>0</v>
      </c>
      <c r="T71" s="5">
        <f t="shared" si="30"/>
        <v>0</v>
      </c>
      <c r="U71" s="6" t="str">
        <f t="shared" si="31"/>
        <v/>
      </c>
      <c r="V71" s="4"/>
      <c r="W71" s="5">
        <f>0</f>
        <v>0</v>
      </c>
      <c r="X71" s="5">
        <f t="shared" si="32"/>
        <v>0</v>
      </c>
      <c r="Y71" s="6" t="str">
        <f t="shared" si="33"/>
        <v/>
      </c>
      <c r="Z71" s="4"/>
      <c r="AA71" s="5">
        <f>0</f>
        <v>0</v>
      </c>
      <c r="AB71" s="5">
        <f t="shared" si="34"/>
        <v>0</v>
      </c>
      <c r="AC71" s="6" t="str">
        <f t="shared" si="35"/>
        <v/>
      </c>
      <c r="AD71" s="4"/>
      <c r="AE71" s="5">
        <f>0</f>
        <v>0</v>
      </c>
      <c r="AF71" s="5">
        <f t="shared" si="36"/>
        <v>0</v>
      </c>
      <c r="AG71" s="6" t="str">
        <f t="shared" si="37"/>
        <v/>
      </c>
      <c r="AH71" s="4"/>
      <c r="AI71" s="5">
        <f>0</f>
        <v>0</v>
      </c>
      <c r="AJ71" s="5">
        <f t="shared" si="38"/>
        <v>0</v>
      </c>
      <c r="AK71" s="6" t="str">
        <f t="shared" si="39"/>
        <v/>
      </c>
      <c r="AL71" s="5">
        <f t="shared" si="40"/>
        <v>6100</v>
      </c>
      <c r="AM71" s="5">
        <f t="shared" si="41"/>
        <v>0</v>
      </c>
      <c r="AN71" s="5">
        <f t="shared" si="42"/>
        <v>6100</v>
      </c>
      <c r="AO71" s="6" t="str">
        <f t="shared" si="43"/>
        <v/>
      </c>
    </row>
    <row r="72" spans="1:41" x14ac:dyDescent="0.25">
      <c r="A72" s="3" t="s">
        <v>79</v>
      </c>
      <c r="B72" s="4"/>
      <c r="C72" s="4"/>
      <c r="D72" s="5">
        <f t="shared" si="22"/>
        <v>0</v>
      </c>
      <c r="E72" s="6" t="str">
        <f t="shared" si="23"/>
        <v/>
      </c>
      <c r="F72" s="5">
        <f>28.26</f>
        <v>28.26</v>
      </c>
      <c r="G72" s="4"/>
      <c r="H72" s="5">
        <f t="shared" si="24"/>
        <v>28.26</v>
      </c>
      <c r="I72" s="6" t="str">
        <f t="shared" si="25"/>
        <v/>
      </c>
      <c r="J72" s="4"/>
      <c r="K72" s="4"/>
      <c r="L72" s="5">
        <f t="shared" si="26"/>
        <v>0</v>
      </c>
      <c r="M72" s="6" t="str">
        <f t="shared" si="27"/>
        <v/>
      </c>
      <c r="N72" s="4"/>
      <c r="O72" s="4"/>
      <c r="P72" s="5">
        <f t="shared" si="28"/>
        <v>0</v>
      </c>
      <c r="Q72" s="6" t="str">
        <f t="shared" si="29"/>
        <v/>
      </c>
      <c r="R72" s="4"/>
      <c r="S72" s="4"/>
      <c r="T72" s="5">
        <f t="shared" si="30"/>
        <v>0</v>
      </c>
      <c r="U72" s="6" t="str">
        <f t="shared" si="31"/>
        <v/>
      </c>
      <c r="V72" s="4"/>
      <c r="W72" s="4"/>
      <c r="X72" s="5">
        <f t="shared" si="32"/>
        <v>0</v>
      </c>
      <c r="Y72" s="6" t="str">
        <f t="shared" si="33"/>
        <v/>
      </c>
      <c r="Z72" s="4"/>
      <c r="AA72" s="4"/>
      <c r="AB72" s="5">
        <f t="shared" si="34"/>
        <v>0</v>
      </c>
      <c r="AC72" s="6" t="str">
        <f t="shared" si="35"/>
        <v/>
      </c>
      <c r="AD72" s="5">
        <f>77.9</f>
        <v>77.900000000000006</v>
      </c>
      <c r="AE72" s="4"/>
      <c r="AF72" s="5">
        <f t="shared" si="36"/>
        <v>77.900000000000006</v>
      </c>
      <c r="AG72" s="6" t="str">
        <f t="shared" si="37"/>
        <v/>
      </c>
      <c r="AH72" s="4"/>
      <c r="AI72" s="4"/>
      <c r="AJ72" s="5">
        <f t="shared" si="38"/>
        <v>0</v>
      </c>
      <c r="AK72" s="6" t="str">
        <f t="shared" si="39"/>
        <v/>
      </c>
      <c r="AL72" s="5">
        <f t="shared" si="40"/>
        <v>106.16000000000001</v>
      </c>
      <c r="AM72" s="5">
        <f t="shared" si="41"/>
        <v>0</v>
      </c>
      <c r="AN72" s="5">
        <f t="shared" si="42"/>
        <v>106.16000000000001</v>
      </c>
      <c r="AO72" s="6" t="str">
        <f t="shared" si="43"/>
        <v/>
      </c>
    </row>
    <row r="73" spans="1:41" x14ac:dyDescent="0.25">
      <c r="A73" s="3" t="s">
        <v>80</v>
      </c>
      <c r="B73" s="4"/>
      <c r="C73" s="5">
        <f>0</f>
        <v>0</v>
      </c>
      <c r="D73" s="5">
        <f t="shared" si="22"/>
        <v>0</v>
      </c>
      <c r="E73" s="6" t="str">
        <f t="shared" si="23"/>
        <v/>
      </c>
      <c r="F73" s="4"/>
      <c r="G73" s="5">
        <f>0</f>
        <v>0</v>
      </c>
      <c r="H73" s="5">
        <f t="shared" si="24"/>
        <v>0</v>
      </c>
      <c r="I73" s="6" t="str">
        <f t="shared" si="25"/>
        <v/>
      </c>
      <c r="J73" s="4"/>
      <c r="K73" s="5">
        <f>0</f>
        <v>0</v>
      </c>
      <c r="L73" s="5">
        <f t="shared" si="26"/>
        <v>0</v>
      </c>
      <c r="M73" s="6" t="str">
        <f t="shared" si="27"/>
        <v/>
      </c>
      <c r="N73" s="5">
        <f>300</f>
        <v>300</v>
      </c>
      <c r="O73" s="5">
        <f>0</f>
        <v>0</v>
      </c>
      <c r="P73" s="5">
        <f t="shared" si="28"/>
        <v>300</v>
      </c>
      <c r="Q73" s="6" t="str">
        <f t="shared" si="29"/>
        <v/>
      </c>
      <c r="R73" s="5">
        <f>5351.76</f>
        <v>5351.76</v>
      </c>
      <c r="S73" s="5">
        <f>3530</f>
        <v>3530</v>
      </c>
      <c r="T73" s="5">
        <f t="shared" si="30"/>
        <v>1821.7600000000002</v>
      </c>
      <c r="U73" s="6">
        <f t="shared" si="31"/>
        <v>1.5160793201133145</v>
      </c>
      <c r="V73" s="5">
        <f>-586.56</f>
        <v>-586.55999999999995</v>
      </c>
      <c r="W73" s="5">
        <f>0</f>
        <v>0</v>
      </c>
      <c r="X73" s="5">
        <f t="shared" si="32"/>
        <v>-586.55999999999995</v>
      </c>
      <c r="Y73" s="6" t="str">
        <f t="shared" si="33"/>
        <v/>
      </c>
      <c r="Z73" s="5">
        <f>37.5</f>
        <v>37.5</v>
      </c>
      <c r="AA73" s="5">
        <f>0</f>
        <v>0</v>
      </c>
      <c r="AB73" s="5">
        <f t="shared" si="34"/>
        <v>37.5</v>
      </c>
      <c r="AC73" s="6" t="str">
        <f t="shared" si="35"/>
        <v/>
      </c>
      <c r="AD73" s="4"/>
      <c r="AE73" s="5">
        <f>0</f>
        <v>0</v>
      </c>
      <c r="AF73" s="5">
        <f t="shared" si="36"/>
        <v>0</v>
      </c>
      <c r="AG73" s="6" t="str">
        <f t="shared" si="37"/>
        <v/>
      </c>
      <c r="AH73" s="4"/>
      <c r="AI73" s="5">
        <f>0</f>
        <v>0</v>
      </c>
      <c r="AJ73" s="5">
        <f t="shared" si="38"/>
        <v>0</v>
      </c>
      <c r="AK73" s="6" t="str">
        <f t="shared" si="39"/>
        <v/>
      </c>
      <c r="AL73" s="5">
        <f t="shared" si="40"/>
        <v>5102.7000000000007</v>
      </c>
      <c r="AM73" s="5">
        <f t="shared" si="41"/>
        <v>3530</v>
      </c>
      <c r="AN73" s="5">
        <f t="shared" si="42"/>
        <v>1572.7000000000007</v>
      </c>
      <c r="AO73" s="6">
        <f t="shared" si="43"/>
        <v>1.4455240793201136</v>
      </c>
    </row>
    <row r="74" spans="1:41" x14ac:dyDescent="0.25">
      <c r="A74" s="3" t="s">
        <v>81</v>
      </c>
      <c r="B74" s="4"/>
      <c r="C74" s="5">
        <f>0</f>
        <v>0</v>
      </c>
      <c r="D74" s="5">
        <f t="shared" si="22"/>
        <v>0</v>
      </c>
      <c r="E74" s="6" t="str">
        <f t="shared" si="23"/>
        <v/>
      </c>
      <c r="F74" s="4"/>
      <c r="G74" s="5">
        <f>0</f>
        <v>0</v>
      </c>
      <c r="H74" s="5">
        <f t="shared" si="24"/>
        <v>0</v>
      </c>
      <c r="I74" s="6" t="str">
        <f t="shared" si="25"/>
        <v/>
      </c>
      <c r="J74" s="4"/>
      <c r="K74" s="5">
        <f>0</f>
        <v>0</v>
      </c>
      <c r="L74" s="5">
        <f t="shared" si="26"/>
        <v>0</v>
      </c>
      <c r="M74" s="6" t="str">
        <f t="shared" si="27"/>
        <v/>
      </c>
      <c r="N74" s="4"/>
      <c r="O74" s="5">
        <f>0</f>
        <v>0</v>
      </c>
      <c r="P74" s="5">
        <f t="shared" si="28"/>
        <v>0</v>
      </c>
      <c r="Q74" s="6" t="str">
        <f t="shared" si="29"/>
        <v/>
      </c>
      <c r="R74" s="4"/>
      <c r="S74" s="5">
        <f>0</f>
        <v>0</v>
      </c>
      <c r="T74" s="5">
        <f t="shared" si="30"/>
        <v>0</v>
      </c>
      <c r="U74" s="6" t="str">
        <f t="shared" si="31"/>
        <v/>
      </c>
      <c r="V74" s="4"/>
      <c r="W74" s="5">
        <f>0</f>
        <v>0</v>
      </c>
      <c r="X74" s="5">
        <f t="shared" si="32"/>
        <v>0</v>
      </c>
      <c r="Y74" s="6" t="str">
        <f t="shared" si="33"/>
        <v/>
      </c>
      <c r="Z74" s="4"/>
      <c r="AA74" s="5">
        <f>0</f>
        <v>0</v>
      </c>
      <c r="AB74" s="5">
        <f t="shared" si="34"/>
        <v>0</v>
      </c>
      <c r="AC74" s="6" t="str">
        <f t="shared" si="35"/>
        <v/>
      </c>
      <c r="AD74" s="4"/>
      <c r="AE74" s="5">
        <f>0</f>
        <v>0</v>
      </c>
      <c r="AF74" s="5">
        <f t="shared" si="36"/>
        <v>0</v>
      </c>
      <c r="AG74" s="6" t="str">
        <f t="shared" si="37"/>
        <v/>
      </c>
      <c r="AH74" s="4"/>
      <c r="AI74" s="5">
        <f>5000</f>
        <v>5000</v>
      </c>
      <c r="AJ74" s="5">
        <f t="shared" si="38"/>
        <v>-5000</v>
      </c>
      <c r="AK74" s="6">
        <f t="shared" si="39"/>
        <v>0</v>
      </c>
      <c r="AL74" s="5">
        <f t="shared" si="40"/>
        <v>0</v>
      </c>
      <c r="AM74" s="5">
        <f t="shared" si="41"/>
        <v>5000</v>
      </c>
      <c r="AN74" s="5">
        <f t="shared" si="42"/>
        <v>-5000</v>
      </c>
      <c r="AO74" s="6">
        <f t="shared" si="43"/>
        <v>0</v>
      </c>
    </row>
    <row r="75" spans="1:41" x14ac:dyDescent="0.25">
      <c r="A75" s="3" t="s">
        <v>82</v>
      </c>
      <c r="B75" s="4"/>
      <c r="C75" s="4"/>
      <c r="D75" s="5">
        <f t="shared" si="22"/>
        <v>0</v>
      </c>
      <c r="E75" s="6" t="str">
        <f t="shared" si="23"/>
        <v/>
      </c>
      <c r="F75" s="4"/>
      <c r="G75" s="4"/>
      <c r="H75" s="5">
        <f t="shared" si="24"/>
        <v>0</v>
      </c>
      <c r="I75" s="6" t="str">
        <f t="shared" si="25"/>
        <v/>
      </c>
      <c r="J75" s="4"/>
      <c r="K75" s="4"/>
      <c r="L75" s="5">
        <f t="shared" si="26"/>
        <v>0</v>
      </c>
      <c r="M75" s="6" t="str">
        <f t="shared" si="27"/>
        <v/>
      </c>
      <c r="N75" s="4"/>
      <c r="O75" s="4"/>
      <c r="P75" s="5">
        <f t="shared" si="28"/>
        <v>0</v>
      </c>
      <c r="Q75" s="6" t="str">
        <f t="shared" si="29"/>
        <v/>
      </c>
      <c r="R75" s="4"/>
      <c r="S75" s="4"/>
      <c r="T75" s="5">
        <f t="shared" si="30"/>
        <v>0</v>
      </c>
      <c r="U75" s="6" t="str">
        <f t="shared" si="31"/>
        <v/>
      </c>
      <c r="V75" s="5">
        <f>112</f>
        <v>112</v>
      </c>
      <c r="W75" s="4"/>
      <c r="X75" s="5">
        <f t="shared" si="32"/>
        <v>112</v>
      </c>
      <c r="Y75" s="6" t="str">
        <f t="shared" si="33"/>
        <v/>
      </c>
      <c r="Z75" s="4"/>
      <c r="AA75" s="4"/>
      <c r="AB75" s="5">
        <f t="shared" si="34"/>
        <v>0</v>
      </c>
      <c r="AC75" s="6" t="str">
        <f t="shared" si="35"/>
        <v/>
      </c>
      <c r="AD75" s="4"/>
      <c r="AE75" s="4"/>
      <c r="AF75" s="5">
        <f t="shared" si="36"/>
        <v>0</v>
      </c>
      <c r="AG75" s="6" t="str">
        <f t="shared" si="37"/>
        <v/>
      </c>
      <c r="AH75" s="4"/>
      <c r="AI75" s="4"/>
      <c r="AJ75" s="5">
        <f t="shared" si="38"/>
        <v>0</v>
      </c>
      <c r="AK75" s="6" t="str">
        <f t="shared" si="39"/>
        <v/>
      </c>
      <c r="AL75" s="5">
        <f t="shared" si="40"/>
        <v>112</v>
      </c>
      <c r="AM75" s="5">
        <f t="shared" si="41"/>
        <v>0</v>
      </c>
      <c r="AN75" s="5">
        <f t="shared" si="42"/>
        <v>112</v>
      </c>
      <c r="AO75" s="6" t="str">
        <f t="shared" si="43"/>
        <v/>
      </c>
    </row>
    <row r="76" spans="1:41" x14ac:dyDescent="0.25">
      <c r="A76" s="3" t="s">
        <v>83</v>
      </c>
      <c r="B76" s="4"/>
      <c r="C76" s="5">
        <f>0</f>
        <v>0</v>
      </c>
      <c r="D76" s="5">
        <f t="shared" si="22"/>
        <v>0</v>
      </c>
      <c r="E76" s="6" t="str">
        <f t="shared" si="23"/>
        <v/>
      </c>
      <c r="F76" s="4"/>
      <c r="G76" s="5">
        <f>0</f>
        <v>0</v>
      </c>
      <c r="H76" s="5">
        <f t="shared" si="24"/>
        <v>0</v>
      </c>
      <c r="I76" s="6" t="str">
        <f t="shared" si="25"/>
        <v/>
      </c>
      <c r="J76" s="5">
        <f>3.34</f>
        <v>3.34</v>
      </c>
      <c r="K76" s="5">
        <f>0</f>
        <v>0</v>
      </c>
      <c r="L76" s="5">
        <f t="shared" si="26"/>
        <v>3.34</v>
      </c>
      <c r="M76" s="6" t="str">
        <f t="shared" si="27"/>
        <v/>
      </c>
      <c r="N76" s="4"/>
      <c r="O76" s="5">
        <f>0</f>
        <v>0</v>
      </c>
      <c r="P76" s="5">
        <f t="shared" si="28"/>
        <v>0</v>
      </c>
      <c r="Q76" s="6" t="str">
        <f t="shared" si="29"/>
        <v/>
      </c>
      <c r="R76" s="4"/>
      <c r="S76" s="5">
        <f>0</f>
        <v>0</v>
      </c>
      <c r="T76" s="5">
        <f t="shared" si="30"/>
        <v>0</v>
      </c>
      <c r="U76" s="6" t="str">
        <f t="shared" si="31"/>
        <v/>
      </c>
      <c r="V76" s="4"/>
      <c r="W76" s="5">
        <f>0</f>
        <v>0</v>
      </c>
      <c r="X76" s="5">
        <f t="shared" si="32"/>
        <v>0</v>
      </c>
      <c r="Y76" s="6" t="str">
        <f t="shared" si="33"/>
        <v/>
      </c>
      <c r="Z76" s="4"/>
      <c r="AA76" s="5">
        <f>0</f>
        <v>0</v>
      </c>
      <c r="AB76" s="5">
        <f t="shared" si="34"/>
        <v>0</v>
      </c>
      <c r="AC76" s="6" t="str">
        <f t="shared" si="35"/>
        <v/>
      </c>
      <c r="AD76" s="5">
        <f>162</f>
        <v>162</v>
      </c>
      <c r="AE76" s="5">
        <f>0</f>
        <v>0</v>
      </c>
      <c r="AF76" s="5">
        <f t="shared" si="36"/>
        <v>162</v>
      </c>
      <c r="AG76" s="6" t="str">
        <f t="shared" si="37"/>
        <v/>
      </c>
      <c r="AH76" s="5">
        <f>233.35</f>
        <v>233.35</v>
      </c>
      <c r="AI76" s="5">
        <f>0</f>
        <v>0</v>
      </c>
      <c r="AJ76" s="5">
        <f t="shared" si="38"/>
        <v>233.35</v>
      </c>
      <c r="AK76" s="6" t="str">
        <f t="shared" si="39"/>
        <v/>
      </c>
      <c r="AL76" s="5">
        <f t="shared" si="40"/>
        <v>398.69</v>
      </c>
      <c r="AM76" s="5">
        <f t="shared" si="41"/>
        <v>0</v>
      </c>
      <c r="AN76" s="5">
        <f t="shared" si="42"/>
        <v>398.69</v>
      </c>
      <c r="AO76" s="6" t="str">
        <f t="shared" si="43"/>
        <v/>
      </c>
    </row>
    <row r="77" spans="1:41" x14ac:dyDescent="0.25">
      <c r="A77" s="3" t="s">
        <v>84</v>
      </c>
      <c r="B77" s="4"/>
      <c r="C77" s="5">
        <f>0</f>
        <v>0</v>
      </c>
      <c r="D77" s="5">
        <f t="shared" si="22"/>
        <v>0</v>
      </c>
      <c r="E77" s="6" t="str">
        <f t="shared" si="23"/>
        <v/>
      </c>
      <c r="F77" s="4"/>
      <c r="G77" s="5">
        <f>0</f>
        <v>0</v>
      </c>
      <c r="H77" s="5">
        <f t="shared" si="24"/>
        <v>0</v>
      </c>
      <c r="I77" s="6" t="str">
        <f t="shared" si="25"/>
        <v/>
      </c>
      <c r="J77" s="4"/>
      <c r="K77" s="5">
        <f>0</f>
        <v>0</v>
      </c>
      <c r="L77" s="5">
        <f t="shared" si="26"/>
        <v>0</v>
      </c>
      <c r="M77" s="6" t="str">
        <f t="shared" si="27"/>
        <v/>
      </c>
      <c r="N77" s="4"/>
      <c r="O77" s="5">
        <f>0</f>
        <v>0</v>
      </c>
      <c r="P77" s="5">
        <f t="shared" si="28"/>
        <v>0</v>
      </c>
      <c r="Q77" s="6" t="str">
        <f t="shared" si="29"/>
        <v/>
      </c>
      <c r="R77" s="4"/>
      <c r="S77" s="5">
        <f>0</f>
        <v>0</v>
      </c>
      <c r="T77" s="5">
        <f t="shared" si="30"/>
        <v>0</v>
      </c>
      <c r="U77" s="6" t="str">
        <f t="shared" si="31"/>
        <v/>
      </c>
      <c r="V77" s="4"/>
      <c r="W77" s="5">
        <f>0</f>
        <v>0</v>
      </c>
      <c r="X77" s="5">
        <f t="shared" si="32"/>
        <v>0</v>
      </c>
      <c r="Y77" s="6" t="str">
        <f t="shared" si="33"/>
        <v/>
      </c>
      <c r="Z77" s="4"/>
      <c r="AA77" s="5">
        <f>0</f>
        <v>0</v>
      </c>
      <c r="AB77" s="5">
        <f t="shared" si="34"/>
        <v>0</v>
      </c>
      <c r="AC77" s="6" t="str">
        <f t="shared" si="35"/>
        <v/>
      </c>
      <c r="AD77" s="4"/>
      <c r="AE77" s="5">
        <f>5000</f>
        <v>5000</v>
      </c>
      <c r="AF77" s="5">
        <f t="shared" si="36"/>
        <v>-5000</v>
      </c>
      <c r="AG77" s="6">
        <f t="shared" si="37"/>
        <v>0</v>
      </c>
      <c r="AH77" s="4"/>
      <c r="AI77" s="5">
        <f>0</f>
        <v>0</v>
      </c>
      <c r="AJ77" s="5">
        <f t="shared" si="38"/>
        <v>0</v>
      </c>
      <c r="AK77" s="6" t="str">
        <f t="shared" si="39"/>
        <v/>
      </c>
      <c r="AL77" s="5">
        <f t="shared" si="40"/>
        <v>0</v>
      </c>
      <c r="AM77" s="5">
        <f t="shared" si="41"/>
        <v>5000</v>
      </c>
      <c r="AN77" s="5">
        <f t="shared" si="42"/>
        <v>-5000</v>
      </c>
      <c r="AO77" s="6">
        <f t="shared" si="43"/>
        <v>0</v>
      </c>
    </row>
    <row r="78" spans="1:41" x14ac:dyDescent="0.25">
      <c r="A78" s="3" t="s">
        <v>85</v>
      </c>
      <c r="B78" s="4"/>
      <c r="C78" s="5">
        <f>0</f>
        <v>0</v>
      </c>
      <c r="D78" s="5">
        <f t="shared" si="22"/>
        <v>0</v>
      </c>
      <c r="E78" s="6" t="str">
        <f t="shared" si="23"/>
        <v/>
      </c>
      <c r="F78" s="4"/>
      <c r="G78" s="5">
        <f>0</f>
        <v>0</v>
      </c>
      <c r="H78" s="5">
        <f t="shared" si="24"/>
        <v>0</v>
      </c>
      <c r="I78" s="6" t="str">
        <f t="shared" si="25"/>
        <v/>
      </c>
      <c r="J78" s="5">
        <f>460.32</f>
        <v>460.32</v>
      </c>
      <c r="K78" s="5">
        <f>0</f>
        <v>0</v>
      </c>
      <c r="L78" s="5">
        <f t="shared" si="26"/>
        <v>460.32</v>
      </c>
      <c r="M78" s="6" t="str">
        <f t="shared" si="27"/>
        <v/>
      </c>
      <c r="N78" s="4"/>
      <c r="O78" s="5">
        <f>0</f>
        <v>0</v>
      </c>
      <c r="P78" s="5">
        <f t="shared" si="28"/>
        <v>0</v>
      </c>
      <c r="Q78" s="6" t="str">
        <f t="shared" si="29"/>
        <v/>
      </c>
      <c r="R78" s="4"/>
      <c r="S78" s="5">
        <f>0</f>
        <v>0</v>
      </c>
      <c r="T78" s="5">
        <f t="shared" si="30"/>
        <v>0</v>
      </c>
      <c r="U78" s="6" t="str">
        <f t="shared" si="31"/>
        <v/>
      </c>
      <c r="V78" s="4"/>
      <c r="W78" s="5">
        <f>0</f>
        <v>0</v>
      </c>
      <c r="X78" s="5">
        <f t="shared" si="32"/>
        <v>0</v>
      </c>
      <c r="Y78" s="6" t="str">
        <f t="shared" si="33"/>
        <v/>
      </c>
      <c r="Z78" s="4"/>
      <c r="AA78" s="5">
        <f>0</f>
        <v>0</v>
      </c>
      <c r="AB78" s="5">
        <f t="shared" si="34"/>
        <v>0</v>
      </c>
      <c r="AC78" s="6" t="str">
        <f t="shared" si="35"/>
        <v/>
      </c>
      <c r="AD78" s="5">
        <f>147.62</f>
        <v>147.62</v>
      </c>
      <c r="AE78" s="5">
        <f>200</f>
        <v>200</v>
      </c>
      <c r="AF78" s="5">
        <f t="shared" si="36"/>
        <v>-52.379999999999995</v>
      </c>
      <c r="AG78" s="6">
        <f t="shared" si="37"/>
        <v>0.73809999999999998</v>
      </c>
      <c r="AH78" s="5">
        <f>-1738</f>
        <v>-1738</v>
      </c>
      <c r="AI78" s="5">
        <f>200</f>
        <v>200</v>
      </c>
      <c r="AJ78" s="5">
        <f t="shared" si="38"/>
        <v>-1938</v>
      </c>
      <c r="AK78" s="6">
        <f t="shared" si="39"/>
        <v>-8.69</v>
      </c>
      <c r="AL78" s="5">
        <f t="shared" si="40"/>
        <v>-1130.06</v>
      </c>
      <c r="AM78" s="5">
        <f t="shared" si="41"/>
        <v>400</v>
      </c>
      <c r="AN78" s="5">
        <f t="shared" si="42"/>
        <v>-1530.06</v>
      </c>
      <c r="AO78" s="6">
        <f t="shared" si="43"/>
        <v>-2.8251499999999998</v>
      </c>
    </row>
    <row r="79" spans="1:41" x14ac:dyDescent="0.25">
      <c r="A79" s="3" t="s">
        <v>86</v>
      </c>
      <c r="B79" s="5">
        <f>511.67</f>
        <v>511.67</v>
      </c>
      <c r="C79" s="5">
        <f>250</f>
        <v>250</v>
      </c>
      <c r="D79" s="5">
        <f t="shared" si="22"/>
        <v>261.67</v>
      </c>
      <c r="E79" s="6">
        <f t="shared" si="23"/>
        <v>2.0466800000000003</v>
      </c>
      <c r="F79" s="5">
        <f>308.17</f>
        <v>308.17</v>
      </c>
      <c r="G79" s="5">
        <f>250</f>
        <v>250</v>
      </c>
      <c r="H79" s="5">
        <f t="shared" si="24"/>
        <v>58.170000000000016</v>
      </c>
      <c r="I79" s="6">
        <f t="shared" si="25"/>
        <v>1.23268</v>
      </c>
      <c r="J79" s="5">
        <f>221.88</f>
        <v>221.88</v>
      </c>
      <c r="K79" s="5">
        <f>250</f>
        <v>250</v>
      </c>
      <c r="L79" s="5">
        <f t="shared" si="26"/>
        <v>-28.120000000000005</v>
      </c>
      <c r="M79" s="6">
        <f t="shared" si="27"/>
        <v>0.88751999999999998</v>
      </c>
      <c r="N79" s="5">
        <f>46.2</f>
        <v>46.2</v>
      </c>
      <c r="O79" s="5">
        <f>250</f>
        <v>250</v>
      </c>
      <c r="P79" s="5">
        <f t="shared" si="28"/>
        <v>-203.8</v>
      </c>
      <c r="Q79" s="6">
        <f t="shared" si="29"/>
        <v>0.18480000000000002</v>
      </c>
      <c r="R79" s="4"/>
      <c r="S79" s="5">
        <f>250</f>
        <v>250</v>
      </c>
      <c r="T79" s="5">
        <f t="shared" si="30"/>
        <v>-250</v>
      </c>
      <c r="U79" s="6">
        <f t="shared" si="31"/>
        <v>0</v>
      </c>
      <c r="V79" s="4"/>
      <c r="W79" s="5">
        <f>250</f>
        <v>250</v>
      </c>
      <c r="X79" s="5">
        <f t="shared" si="32"/>
        <v>-250</v>
      </c>
      <c r="Y79" s="6">
        <f t="shared" si="33"/>
        <v>0</v>
      </c>
      <c r="Z79" s="5">
        <f>276.1</f>
        <v>276.10000000000002</v>
      </c>
      <c r="AA79" s="5">
        <f>250</f>
        <v>250</v>
      </c>
      <c r="AB79" s="5">
        <f t="shared" si="34"/>
        <v>26.100000000000023</v>
      </c>
      <c r="AC79" s="6">
        <f t="shared" si="35"/>
        <v>1.1044</v>
      </c>
      <c r="AD79" s="5">
        <f>230</f>
        <v>230</v>
      </c>
      <c r="AE79" s="5">
        <f>250</f>
        <v>250</v>
      </c>
      <c r="AF79" s="5">
        <f t="shared" si="36"/>
        <v>-20</v>
      </c>
      <c r="AG79" s="6">
        <f t="shared" si="37"/>
        <v>0.92</v>
      </c>
      <c r="AH79" s="5">
        <f>383.86</f>
        <v>383.86</v>
      </c>
      <c r="AI79" s="5">
        <f>250</f>
        <v>250</v>
      </c>
      <c r="AJ79" s="5">
        <f t="shared" si="38"/>
        <v>133.86000000000001</v>
      </c>
      <c r="AK79" s="6">
        <f t="shared" si="39"/>
        <v>1.5354400000000001</v>
      </c>
      <c r="AL79" s="5">
        <f t="shared" si="40"/>
        <v>1977.88</v>
      </c>
      <c r="AM79" s="5">
        <f t="shared" si="41"/>
        <v>2250</v>
      </c>
      <c r="AN79" s="5">
        <f t="shared" si="42"/>
        <v>-272.11999999999989</v>
      </c>
      <c r="AO79" s="6">
        <f t="shared" si="43"/>
        <v>0.87905777777777783</v>
      </c>
    </row>
    <row r="80" spans="1:41" x14ac:dyDescent="0.25">
      <c r="A80" s="3" t="s">
        <v>87</v>
      </c>
      <c r="B80" s="7">
        <f>(((((((((((((B66)+(B67))+(B68))+(B69))+(B70))+(B71))+(B72))+(B73))+(B74))+(B75))+(B76))+(B77))+(B78))+(B79)</f>
        <v>13910.039999999999</v>
      </c>
      <c r="C80" s="7">
        <f>(((((((((((((C66)+(C67))+(C68))+(C69))+(C70))+(C71))+(C72))+(C73))+(C74))+(C75))+(C76))+(C77))+(C78))+(C79)</f>
        <v>5156</v>
      </c>
      <c r="D80" s="7">
        <f t="shared" si="22"/>
        <v>8754.0399999999991</v>
      </c>
      <c r="E80" s="8">
        <f t="shared" si="23"/>
        <v>2.6978355314197051</v>
      </c>
      <c r="F80" s="7">
        <f>(((((((((((((F66)+(F67))+(F68))+(F69))+(F70))+(F71))+(F72))+(F73))+(F74))+(F75))+(F76))+(F77))+(F78))+(F79)</f>
        <v>6501.43</v>
      </c>
      <c r="G80" s="7">
        <f>(((((((((((((G66)+(G67))+(G68))+(G69))+(G70))+(G71))+(G72))+(G73))+(G74))+(G75))+(G76))+(G77))+(G78))+(G79)</f>
        <v>5156</v>
      </c>
      <c r="H80" s="7">
        <f t="shared" si="24"/>
        <v>1345.4300000000003</v>
      </c>
      <c r="I80" s="8">
        <f t="shared" si="25"/>
        <v>1.26094453064391</v>
      </c>
      <c r="J80" s="7">
        <f>(((((((((((((J66)+(J67))+(J68))+(J69))+(J70))+(J71))+(J72))+(J73))+(J74))+(J75))+(J76))+(J77))+(J78))+(J79)</f>
        <v>5200.54</v>
      </c>
      <c r="K80" s="7">
        <f>(((((((((((((K66)+(K67))+(K68))+(K69))+(K70))+(K71))+(K72))+(K73))+(K74))+(K75))+(K76))+(K77))+(K78))+(K79)</f>
        <v>6856</v>
      </c>
      <c r="L80" s="7">
        <f t="shared" si="26"/>
        <v>-1655.46</v>
      </c>
      <c r="M80" s="8">
        <f t="shared" si="27"/>
        <v>0.75853850641773624</v>
      </c>
      <c r="N80" s="7">
        <f>(((((((((((((N66)+(N67))+(N68))+(N69))+(N70))+(N71))+(N72))+(N73))+(N74))+(N75))+(N76))+(N77))+(N78))+(N79)</f>
        <v>6008.7699999999995</v>
      </c>
      <c r="O80" s="7">
        <f>(((((((((((((O66)+(O67))+(O68))+(O69))+(O70))+(O71))+(O72))+(O73))+(O74))+(O75))+(O76))+(O77))+(O78))+(O79)</f>
        <v>5156</v>
      </c>
      <c r="P80" s="7">
        <f t="shared" si="28"/>
        <v>852.76999999999953</v>
      </c>
      <c r="Q80" s="8">
        <f t="shared" si="29"/>
        <v>1.1653937160589602</v>
      </c>
      <c r="R80" s="7">
        <f>(((((((((((((R66)+(R67))+(R68))+(R69))+(R70))+(R71))+(R72))+(R73))+(R74))+(R75))+(R76))+(R77))+(R78))+(R79)</f>
        <v>9934.66</v>
      </c>
      <c r="S80" s="7">
        <f>(((((((((((((S66)+(S67))+(S68))+(S69))+(S70))+(S71))+(S72))+(S73))+(S74))+(S75))+(S76))+(S77))+(S78))+(S79)</f>
        <v>8686</v>
      </c>
      <c r="T80" s="7">
        <f t="shared" si="30"/>
        <v>1248.6599999999999</v>
      </c>
      <c r="U80" s="8">
        <f t="shared" si="31"/>
        <v>1.1437554685701128</v>
      </c>
      <c r="V80" s="7">
        <f>(((((((((((((V66)+(V67))+(V68))+(V69))+(V70))+(V71))+(V72))+(V73))+(V74))+(V75))+(V76))+(V77))+(V78))+(V79)</f>
        <v>4040.44</v>
      </c>
      <c r="W80" s="7">
        <f>(((((((((((((W66)+(W67))+(W68))+(W69))+(W70))+(W71))+(W72))+(W73))+(W74))+(W75))+(W76))+(W77))+(W78))+(W79)</f>
        <v>5150</v>
      </c>
      <c r="X80" s="7">
        <f t="shared" si="32"/>
        <v>-1109.56</v>
      </c>
      <c r="Y80" s="8">
        <f t="shared" si="33"/>
        <v>0.78455145631067957</v>
      </c>
      <c r="Z80" s="7">
        <f>(((((((((((((Z66)+(Z67))+(Z68))+(Z69))+(Z70))+(Z71))+(Z72))+(Z73))+(Z74))+(Z75))+(Z76))+(Z77))+(Z78))+(Z79)</f>
        <v>6175.56</v>
      </c>
      <c r="AA80" s="7">
        <f>(((((((((((((AA66)+(AA67))+(AA68))+(AA69))+(AA70))+(AA71))+(AA72))+(AA73))+(AA74))+(AA75))+(AA76))+(AA77))+(AA78))+(AA79)</f>
        <v>10820</v>
      </c>
      <c r="AB80" s="7">
        <f t="shared" si="34"/>
        <v>-4644.4399999999996</v>
      </c>
      <c r="AC80" s="8">
        <f t="shared" si="35"/>
        <v>0.57075415896487991</v>
      </c>
      <c r="AD80" s="7">
        <f>(((((((((((((AD66)+(AD67))+(AD68))+(AD69))+(AD70))+(AD71))+(AD72))+(AD73))+(AD74))+(AD75))+(AD76))+(AD77))+(AD78))+(AD79)</f>
        <v>5950.16</v>
      </c>
      <c r="AE80" s="7">
        <f>(((((((((((((AE66)+(AE67))+(AE68))+(AE69))+(AE70))+(AE71))+(AE72))+(AE73))+(AE74))+(AE75))+(AE76))+(AE77))+(AE78))+(AE79)</f>
        <v>10820</v>
      </c>
      <c r="AF80" s="7">
        <f t="shared" si="36"/>
        <v>-4869.84</v>
      </c>
      <c r="AG80" s="8">
        <f t="shared" si="37"/>
        <v>0.54992236598890942</v>
      </c>
      <c r="AH80" s="7">
        <f>(((((((((((((AH66)+(AH67))+(AH68))+(AH69))+(AH70))+(AH71))+(AH72))+(AH73))+(AH74))+(AH75))+(AH76))+(AH77))+(AH78))+(AH79)</f>
        <v>4386.2300000000005</v>
      </c>
      <c r="AI80" s="7">
        <f>(((((((((((((AI66)+(AI67))+(AI68))+(AI69))+(AI70))+(AI71))+(AI72))+(AI73))+(AI74))+(AI75))+(AI76))+(AI77))+(AI78))+(AI79)</f>
        <v>17320</v>
      </c>
      <c r="AJ80" s="7">
        <f t="shared" si="38"/>
        <v>-12933.77</v>
      </c>
      <c r="AK80" s="8">
        <f t="shared" si="39"/>
        <v>0.25324653579676676</v>
      </c>
      <c r="AL80" s="7">
        <f t="shared" si="40"/>
        <v>62107.830000000009</v>
      </c>
      <c r="AM80" s="7">
        <f t="shared" si="41"/>
        <v>75120</v>
      </c>
      <c r="AN80" s="7">
        <f t="shared" si="42"/>
        <v>-13012.169999999991</v>
      </c>
      <c r="AO80" s="8">
        <f t="shared" si="43"/>
        <v>0.82678154952076688</v>
      </c>
    </row>
    <row r="81" spans="1:41" x14ac:dyDescent="0.25">
      <c r="A81" s="3" t="s">
        <v>88</v>
      </c>
      <c r="B81" s="4"/>
      <c r="C81" s="4"/>
      <c r="D81" s="5">
        <f t="shared" si="22"/>
        <v>0</v>
      </c>
      <c r="E81" s="6" t="str">
        <f t="shared" si="23"/>
        <v/>
      </c>
      <c r="F81" s="4"/>
      <c r="G81" s="4"/>
      <c r="H81" s="5">
        <f t="shared" si="24"/>
        <v>0</v>
      </c>
      <c r="I81" s="6" t="str">
        <f t="shared" si="25"/>
        <v/>
      </c>
      <c r="J81" s="4"/>
      <c r="K81" s="4"/>
      <c r="L81" s="5">
        <f t="shared" si="26"/>
        <v>0</v>
      </c>
      <c r="M81" s="6" t="str">
        <f t="shared" si="27"/>
        <v/>
      </c>
      <c r="N81" s="4"/>
      <c r="O81" s="4"/>
      <c r="P81" s="5">
        <f t="shared" si="28"/>
        <v>0</v>
      </c>
      <c r="Q81" s="6" t="str">
        <f t="shared" si="29"/>
        <v/>
      </c>
      <c r="R81" s="4"/>
      <c r="S81" s="4"/>
      <c r="T81" s="5">
        <f t="shared" si="30"/>
        <v>0</v>
      </c>
      <c r="U81" s="6" t="str">
        <f t="shared" si="31"/>
        <v/>
      </c>
      <c r="V81" s="4"/>
      <c r="W81" s="4"/>
      <c r="X81" s="5">
        <f t="shared" si="32"/>
        <v>0</v>
      </c>
      <c r="Y81" s="6" t="str">
        <f t="shared" si="33"/>
        <v/>
      </c>
      <c r="Z81" s="4"/>
      <c r="AA81" s="4"/>
      <c r="AB81" s="5">
        <f t="shared" si="34"/>
        <v>0</v>
      </c>
      <c r="AC81" s="6" t="str">
        <f t="shared" si="35"/>
        <v/>
      </c>
      <c r="AD81" s="4"/>
      <c r="AE81" s="4"/>
      <c r="AF81" s="5">
        <f t="shared" si="36"/>
        <v>0</v>
      </c>
      <c r="AG81" s="6" t="str">
        <f t="shared" si="37"/>
        <v/>
      </c>
      <c r="AH81" s="4"/>
      <c r="AI81" s="4"/>
      <c r="AJ81" s="5">
        <f t="shared" si="38"/>
        <v>0</v>
      </c>
      <c r="AK81" s="6" t="str">
        <f t="shared" si="39"/>
        <v/>
      </c>
      <c r="AL81" s="5">
        <f t="shared" si="40"/>
        <v>0</v>
      </c>
      <c r="AM81" s="5">
        <f t="shared" si="41"/>
        <v>0</v>
      </c>
      <c r="AN81" s="5">
        <f t="shared" si="42"/>
        <v>0</v>
      </c>
      <c r="AO81" s="6" t="str">
        <f t="shared" si="43"/>
        <v/>
      </c>
    </row>
    <row r="82" spans="1:41" x14ac:dyDescent="0.25">
      <c r="A82" s="3" t="s">
        <v>89</v>
      </c>
      <c r="B82" s="5">
        <f>6938.19</f>
        <v>6938.19</v>
      </c>
      <c r="C82" s="5">
        <f>6475</f>
        <v>6475</v>
      </c>
      <c r="D82" s="5">
        <f t="shared" si="22"/>
        <v>463.1899999999996</v>
      </c>
      <c r="E82" s="6">
        <f t="shared" si="23"/>
        <v>1.071535135135135</v>
      </c>
      <c r="F82" s="5">
        <f>7183.63</f>
        <v>7183.63</v>
      </c>
      <c r="G82" s="5">
        <f>6475</f>
        <v>6475</v>
      </c>
      <c r="H82" s="5">
        <f t="shared" si="24"/>
        <v>708.63000000000011</v>
      </c>
      <c r="I82" s="6">
        <f t="shared" si="25"/>
        <v>1.1094409266409266</v>
      </c>
      <c r="J82" s="5">
        <f>6592.13</f>
        <v>6592.13</v>
      </c>
      <c r="K82" s="5">
        <f>6475</f>
        <v>6475</v>
      </c>
      <c r="L82" s="5">
        <f t="shared" si="26"/>
        <v>117.13000000000011</v>
      </c>
      <c r="M82" s="6">
        <f t="shared" si="27"/>
        <v>1.0180895752895753</v>
      </c>
      <c r="N82" s="5">
        <f>6722.13</f>
        <v>6722.13</v>
      </c>
      <c r="O82" s="5">
        <f>6975</f>
        <v>6975</v>
      </c>
      <c r="P82" s="5">
        <f t="shared" si="28"/>
        <v>-252.86999999999989</v>
      </c>
      <c r="Q82" s="6">
        <f t="shared" si="29"/>
        <v>0.96374623655913982</v>
      </c>
      <c r="R82" s="5">
        <f>4988.55</f>
        <v>4988.55</v>
      </c>
      <c r="S82" s="5">
        <f>6475</f>
        <v>6475</v>
      </c>
      <c r="T82" s="5">
        <f t="shared" si="30"/>
        <v>-1486.4499999999998</v>
      </c>
      <c r="U82" s="6">
        <f t="shared" si="31"/>
        <v>0.77043243243243242</v>
      </c>
      <c r="V82" s="5">
        <f>7536.12</f>
        <v>7536.12</v>
      </c>
      <c r="W82" s="5">
        <f>6475</f>
        <v>6475</v>
      </c>
      <c r="X82" s="5">
        <f t="shared" si="32"/>
        <v>1061.1199999999999</v>
      </c>
      <c r="Y82" s="6">
        <f t="shared" si="33"/>
        <v>1.1638795366795367</v>
      </c>
      <c r="Z82" s="5">
        <f>5678.78</f>
        <v>5678.78</v>
      </c>
      <c r="AA82" s="5">
        <f>6475</f>
        <v>6475</v>
      </c>
      <c r="AB82" s="5">
        <f t="shared" si="34"/>
        <v>-796.22000000000025</v>
      </c>
      <c r="AC82" s="6">
        <f t="shared" si="35"/>
        <v>0.87703166023166024</v>
      </c>
      <c r="AD82" s="5">
        <f>6135.06</f>
        <v>6135.06</v>
      </c>
      <c r="AE82" s="5">
        <f>6475</f>
        <v>6475</v>
      </c>
      <c r="AF82" s="5">
        <f t="shared" si="36"/>
        <v>-339.9399999999996</v>
      </c>
      <c r="AG82" s="6">
        <f t="shared" si="37"/>
        <v>0.94749961389961401</v>
      </c>
      <c r="AH82" s="5">
        <f>6070.5</f>
        <v>6070.5</v>
      </c>
      <c r="AI82" s="5">
        <f>6975</f>
        <v>6975</v>
      </c>
      <c r="AJ82" s="5">
        <f t="shared" si="38"/>
        <v>-904.5</v>
      </c>
      <c r="AK82" s="6">
        <f t="shared" si="39"/>
        <v>0.87032258064516133</v>
      </c>
      <c r="AL82" s="5">
        <f t="shared" si="40"/>
        <v>57845.09</v>
      </c>
      <c r="AM82" s="5">
        <f t="shared" si="41"/>
        <v>59275</v>
      </c>
      <c r="AN82" s="5">
        <f t="shared" si="42"/>
        <v>-1429.9100000000035</v>
      </c>
      <c r="AO82" s="6">
        <f t="shared" si="43"/>
        <v>0.97587667650780252</v>
      </c>
    </row>
    <row r="83" spans="1:41" x14ac:dyDescent="0.25">
      <c r="A83" s="3" t="s">
        <v>90</v>
      </c>
      <c r="B83" s="4"/>
      <c r="C83" s="5">
        <f>42</f>
        <v>42</v>
      </c>
      <c r="D83" s="5">
        <f t="shared" si="22"/>
        <v>-42</v>
      </c>
      <c r="E83" s="6">
        <f t="shared" si="23"/>
        <v>0</v>
      </c>
      <c r="F83" s="5">
        <f>35.95</f>
        <v>35.950000000000003</v>
      </c>
      <c r="G83" s="5">
        <f>42</f>
        <v>42</v>
      </c>
      <c r="H83" s="5">
        <f t="shared" si="24"/>
        <v>-6.0499999999999972</v>
      </c>
      <c r="I83" s="6">
        <f t="shared" si="25"/>
        <v>0.85595238095238102</v>
      </c>
      <c r="J83" s="5">
        <f>127.93</f>
        <v>127.93</v>
      </c>
      <c r="K83" s="5">
        <f>42</f>
        <v>42</v>
      </c>
      <c r="L83" s="5">
        <f t="shared" si="26"/>
        <v>85.93</v>
      </c>
      <c r="M83" s="6">
        <f t="shared" si="27"/>
        <v>3.045952380952381</v>
      </c>
      <c r="N83" s="5">
        <f>238.61</f>
        <v>238.61</v>
      </c>
      <c r="O83" s="5">
        <f>42</f>
        <v>42</v>
      </c>
      <c r="P83" s="5">
        <f t="shared" si="28"/>
        <v>196.61</v>
      </c>
      <c r="Q83" s="6">
        <f t="shared" si="29"/>
        <v>5.6811904761904763</v>
      </c>
      <c r="R83" s="5">
        <f>82.4</f>
        <v>82.4</v>
      </c>
      <c r="S83" s="5">
        <f>42</f>
        <v>42</v>
      </c>
      <c r="T83" s="5">
        <f t="shared" si="30"/>
        <v>40.400000000000006</v>
      </c>
      <c r="U83" s="6">
        <f t="shared" si="31"/>
        <v>1.961904761904762</v>
      </c>
      <c r="V83" s="4"/>
      <c r="W83" s="5">
        <f>42</f>
        <v>42</v>
      </c>
      <c r="X83" s="5">
        <f t="shared" si="32"/>
        <v>-42</v>
      </c>
      <c r="Y83" s="6">
        <f t="shared" si="33"/>
        <v>0</v>
      </c>
      <c r="Z83" s="4"/>
      <c r="AA83" s="5">
        <f>42</f>
        <v>42</v>
      </c>
      <c r="AB83" s="5">
        <f t="shared" si="34"/>
        <v>-42</v>
      </c>
      <c r="AC83" s="6">
        <f t="shared" si="35"/>
        <v>0</v>
      </c>
      <c r="AD83" s="4"/>
      <c r="AE83" s="5">
        <f>42</f>
        <v>42</v>
      </c>
      <c r="AF83" s="5">
        <f t="shared" si="36"/>
        <v>-42</v>
      </c>
      <c r="AG83" s="6">
        <f t="shared" si="37"/>
        <v>0</v>
      </c>
      <c r="AH83" s="5">
        <f>35.06</f>
        <v>35.06</v>
      </c>
      <c r="AI83" s="5">
        <f>42</f>
        <v>42</v>
      </c>
      <c r="AJ83" s="5">
        <f t="shared" si="38"/>
        <v>-6.9399999999999977</v>
      </c>
      <c r="AK83" s="6">
        <f t="shared" si="39"/>
        <v>0.83476190476190482</v>
      </c>
      <c r="AL83" s="5">
        <f t="shared" si="40"/>
        <v>519.95000000000005</v>
      </c>
      <c r="AM83" s="5">
        <f t="shared" si="41"/>
        <v>378</v>
      </c>
      <c r="AN83" s="5">
        <f t="shared" si="42"/>
        <v>141.95000000000005</v>
      </c>
      <c r="AO83" s="6">
        <f t="shared" si="43"/>
        <v>1.3755291005291006</v>
      </c>
    </row>
    <row r="84" spans="1:41" x14ac:dyDescent="0.25">
      <c r="A84" s="3" t="s">
        <v>91</v>
      </c>
      <c r="B84" s="4"/>
      <c r="C84" s="5">
        <f>200</f>
        <v>200</v>
      </c>
      <c r="D84" s="5">
        <f t="shared" ref="D84:D115" si="44">(B84)-(C84)</f>
        <v>-200</v>
      </c>
      <c r="E84" s="6">
        <f t="shared" ref="E84:E115" si="45">IF(C84=0,"",(B84)/(C84))</f>
        <v>0</v>
      </c>
      <c r="F84" s="5">
        <f>200</f>
        <v>200</v>
      </c>
      <c r="G84" s="5">
        <f>200</f>
        <v>200</v>
      </c>
      <c r="H84" s="5">
        <f t="shared" ref="H84:H115" si="46">(F84)-(G84)</f>
        <v>0</v>
      </c>
      <c r="I84" s="6">
        <f t="shared" ref="I84:I115" si="47">IF(G84=0,"",(F84)/(G84))</f>
        <v>1</v>
      </c>
      <c r="J84" s="5">
        <f>200.1</f>
        <v>200.1</v>
      </c>
      <c r="K84" s="5">
        <f>200</f>
        <v>200</v>
      </c>
      <c r="L84" s="5">
        <f t="shared" ref="L84:L115" si="48">(J84)-(K84)</f>
        <v>9.9999999999994316E-2</v>
      </c>
      <c r="M84" s="6">
        <f t="shared" ref="M84:M115" si="49">IF(K84=0,"",(J84)/(K84))</f>
        <v>1.0004999999999999</v>
      </c>
      <c r="N84" s="5">
        <f>290</f>
        <v>290</v>
      </c>
      <c r="O84" s="5">
        <f>200</f>
        <v>200</v>
      </c>
      <c r="P84" s="5">
        <f t="shared" ref="P84:P115" si="50">(N84)-(O84)</f>
        <v>90</v>
      </c>
      <c r="Q84" s="6">
        <f t="shared" ref="Q84:Q115" si="51">IF(O84=0,"",(N84)/(O84))</f>
        <v>1.45</v>
      </c>
      <c r="R84" s="5">
        <f>200</f>
        <v>200</v>
      </c>
      <c r="S84" s="5">
        <f>200</f>
        <v>200</v>
      </c>
      <c r="T84" s="5">
        <f t="shared" ref="T84:T115" si="52">(R84)-(S84)</f>
        <v>0</v>
      </c>
      <c r="U84" s="6">
        <f t="shared" ref="U84:U115" si="53">IF(S84=0,"",(R84)/(S84))</f>
        <v>1</v>
      </c>
      <c r="V84" s="5">
        <f>1200</f>
        <v>1200</v>
      </c>
      <c r="W84" s="5">
        <f>200</f>
        <v>200</v>
      </c>
      <c r="X84" s="5">
        <f t="shared" ref="X84:X115" si="54">(V84)-(W84)</f>
        <v>1000</v>
      </c>
      <c r="Y84" s="6">
        <f t="shared" ref="Y84:Y115" si="55">IF(W84=0,"",(V84)/(W84))</f>
        <v>6</v>
      </c>
      <c r="Z84" s="5">
        <f>200</f>
        <v>200</v>
      </c>
      <c r="AA84" s="5">
        <f>200</f>
        <v>200</v>
      </c>
      <c r="AB84" s="5">
        <f t="shared" ref="AB84:AB115" si="56">(Z84)-(AA84)</f>
        <v>0</v>
      </c>
      <c r="AC84" s="6">
        <f t="shared" ref="AC84:AC115" si="57">IF(AA84=0,"",(Z84)/(AA84))</f>
        <v>1</v>
      </c>
      <c r="AD84" s="5">
        <f>250</f>
        <v>250</v>
      </c>
      <c r="AE84" s="5">
        <f>200</f>
        <v>200</v>
      </c>
      <c r="AF84" s="5">
        <f t="shared" ref="AF84:AF115" si="58">(AD84)-(AE84)</f>
        <v>50</v>
      </c>
      <c r="AG84" s="6">
        <f t="shared" ref="AG84:AG115" si="59">IF(AE84=0,"",(AD84)/(AE84))</f>
        <v>1.25</v>
      </c>
      <c r="AH84" s="5">
        <f>450</f>
        <v>450</v>
      </c>
      <c r="AI84" s="5">
        <f>200</f>
        <v>200</v>
      </c>
      <c r="AJ84" s="5">
        <f t="shared" ref="AJ84:AJ115" si="60">(AH84)-(AI84)</f>
        <v>250</v>
      </c>
      <c r="AK84" s="6">
        <f t="shared" ref="AK84:AK115" si="61">IF(AI84=0,"",(AH84)/(AI84))</f>
        <v>2.25</v>
      </c>
      <c r="AL84" s="5">
        <f t="shared" ref="AL84:AL115" si="62">((((((((B84)+(F84))+(J84))+(N84))+(R84))+(V84))+(Z84))+(AD84))+(AH84)</f>
        <v>2990.1</v>
      </c>
      <c r="AM84" s="5">
        <f t="shared" ref="AM84:AM115" si="63">((((((((C84)+(G84))+(K84))+(O84))+(S84))+(W84))+(AA84))+(AE84))+(AI84)</f>
        <v>1800</v>
      </c>
      <c r="AN84" s="5">
        <f t="shared" ref="AN84:AN115" si="64">(AL84)-(AM84)</f>
        <v>1190.0999999999999</v>
      </c>
      <c r="AO84" s="6">
        <f t="shared" ref="AO84:AO115" si="65">IF(AM84=0,"",(AL84)/(AM84))</f>
        <v>1.6611666666666667</v>
      </c>
    </row>
    <row r="85" spans="1:41" x14ac:dyDescent="0.25">
      <c r="A85" s="3" t="s">
        <v>92</v>
      </c>
      <c r="B85" s="4"/>
      <c r="C85" s="5">
        <f>0</f>
        <v>0</v>
      </c>
      <c r="D85" s="5">
        <f t="shared" si="44"/>
        <v>0</v>
      </c>
      <c r="E85" s="6" t="str">
        <f t="shared" si="45"/>
        <v/>
      </c>
      <c r="F85" s="5">
        <f>53.3</f>
        <v>53.3</v>
      </c>
      <c r="G85" s="5">
        <f>0</f>
        <v>0</v>
      </c>
      <c r="H85" s="5">
        <f t="shared" si="46"/>
        <v>53.3</v>
      </c>
      <c r="I85" s="6" t="str">
        <f t="shared" si="47"/>
        <v/>
      </c>
      <c r="J85" s="5">
        <f>87.79</f>
        <v>87.79</v>
      </c>
      <c r="K85" s="5">
        <f>0</f>
        <v>0</v>
      </c>
      <c r="L85" s="5">
        <f t="shared" si="48"/>
        <v>87.79</v>
      </c>
      <c r="M85" s="6" t="str">
        <f t="shared" si="49"/>
        <v/>
      </c>
      <c r="N85" s="5">
        <f>49.25</f>
        <v>49.25</v>
      </c>
      <c r="O85" s="5">
        <f>0</f>
        <v>0</v>
      </c>
      <c r="P85" s="5">
        <f t="shared" si="50"/>
        <v>49.25</v>
      </c>
      <c r="Q85" s="6" t="str">
        <f t="shared" si="51"/>
        <v/>
      </c>
      <c r="R85" s="4"/>
      <c r="S85" s="5">
        <f>0</f>
        <v>0</v>
      </c>
      <c r="T85" s="5">
        <f t="shared" si="52"/>
        <v>0</v>
      </c>
      <c r="U85" s="6" t="str">
        <f t="shared" si="53"/>
        <v/>
      </c>
      <c r="V85" s="4"/>
      <c r="W85" s="5">
        <f>0</f>
        <v>0</v>
      </c>
      <c r="X85" s="5">
        <f t="shared" si="54"/>
        <v>0</v>
      </c>
      <c r="Y85" s="6" t="str">
        <f t="shared" si="55"/>
        <v/>
      </c>
      <c r="Z85" s="4"/>
      <c r="AA85" s="5">
        <f>0</f>
        <v>0</v>
      </c>
      <c r="AB85" s="5">
        <f t="shared" si="56"/>
        <v>0</v>
      </c>
      <c r="AC85" s="6" t="str">
        <f t="shared" si="57"/>
        <v/>
      </c>
      <c r="AD85" s="4"/>
      <c r="AE85" s="5">
        <f>0</f>
        <v>0</v>
      </c>
      <c r="AF85" s="5">
        <f t="shared" si="58"/>
        <v>0</v>
      </c>
      <c r="AG85" s="6" t="str">
        <f t="shared" si="59"/>
        <v/>
      </c>
      <c r="AH85" s="4"/>
      <c r="AI85" s="5">
        <f>0</f>
        <v>0</v>
      </c>
      <c r="AJ85" s="5">
        <f t="shared" si="60"/>
        <v>0</v>
      </c>
      <c r="AK85" s="6" t="str">
        <f t="shared" si="61"/>
        <v/>
      </c>
      <c r="AL85" s="5">
        <f t="shared" si="62"/>
        <v>190.34</v>
      </c>
      <c r="AM85" s="5">
        <f t="shared" si="63"/>
        <v>0</v>
      </c>
      <c r="AN85" s="5">
        <f t="shared" si="64"/>
        <v>190.34</v>
      </c>
      <c r="AO85" s="6" t="str">
        <f t="shared" si="65"/>
        <v/>
      </c>
    </row>
    <row r="86" spans="1:41" x14ac:dyDescent="0.25">
      <c r="A86" s="3" t="s">
        <v>93</v>
      </c>
      <c r="B86" s="4"/>
      <c r="C86" s="4"/>
      <c r="D86" s="5">
        <f t="shared" si="44"/>
        <v>0</v>
      </c>
      <c r="E86" s="6" t="str">
        <f t="shared" si="45"/>
        <v/>
      </c>
      <c r="F86" s="4"/>
      <c r="G86" s="4"/>
      <c r="H86" s="5">
        <f t="shared" si="46"/>
        <v>0</v>
      </c>
      <c r="I86" s="6" t="str">
        <f t="shared" si="47"/>
        <v/>
      </c>
      <c r="J86" s="4"/>
      <c r="K86" s="4"/>
      <c r="L86" s="5">
        <f t="shared" si="48"/>
        <v>0</v>
      </c>
      <c r="M86" s="6" t="str">
        <f t="shared" si="49"/>
        <v/>
      </c>
      <c r="N86" s="4"/>
      <c r="O86" s="4"/>
      <c r="P86" s="5">
        <f t="shared" si="50"/>
        <v>0</v>
      </c>
      <c r="Q86" s="6" t="str">
        <f t="shared" si="51"/>
        <v/>
      </c>
      <c r="R86" s="4"/>
      <c r="S86" s="4"/>
      <c r="T86" s="5">
        <f t="shared" si="52"/>
        <v>0</v>
      </c>
      <c r="U86" s="6" t="str">
        <f t="shared" si="53"/>
        <v/>
      </c>
      <c r="V86" s="4"/>
      <c r="W86" s="4"/>
      <c r="X86" s="5">
        <f t="shared" si="54"/>
        <v>0</v>
      </c>
      <c r="Y86" s="6" t="str">
        <f t="shared" si="55"/>
        <v/>
      </c>
      <c r="Z86" s="4"/>
      <c r="AA86" s="4"/>
      <c r="AB86" s="5">
        <f t="shared" si="56"/>
        <v>0</v>
      </c>
      <c r="AC86" s="6" t="str">
        <f t="shared" si="57"/>
        <v/>
      </c>
      <c r="AD86" s="4"/>
      <c r="AE86" s="4"/>
      <c r="AF86" s="5">
        <f t="shared" si="58"/>
        <v>0</v>
      </c>
      <c r="AG86" s="6" t="str">
        <f t="shared" si="59"/>
        <v/>
      </c>
      <c r="AH86" s="5">
        <f>-159.46</f>
        <v>-159.46</v>
      </c>
      <c r="AI86" s="4"/>
      <c r="AJ86" s="5">
        <f t="shared" si="60"/>
        <v>-159.46</v>
      </c>
      <c r="AK86" s="6" t="str">
        <f t="shared" si="61"/>
        <v/>
      </c>
      <c r="AL86" s="5">
        <f t="shared" si="62"/>
        <v>-159.46</v>
      </c>
      <c r="AM86" s="5">
        <f t="shared" si="63"/>
        <v>0</v>
      </c>
      <c r="AN86" s="5">
        <f t="shared" si="64"/>
        <v>-159.46</v>
      </c>
      <c r="AO86" s="6" t="str">
        <f t="shared" si="65"/>
        <v/>
      </c>
    </row>
    <row r="87" spans="1:41" x14ac:dyDescent="0.25">
      <c r="A87" s="3" t="s">
        <v>94</v>
      </c>
      <c r="B87" s="4"/>
      <c r="C87" s="4"/>
      <c r="D87" s="5">
        <f t="shared" si="44"/>
        <v>0</v>
      </c>
      <c r="E87" s="6" t="str">
        <f t="shared" si="45"/>
        <v/>
      </c>
      <c r="F87" s="4"/>
      <c r="G87" s="4"/>
      <c r="H87" s="5">
        <f t="shared" si="46"/>
        <v>0</v>
      </c>
      <c r="I87" s="6" t="str">
        <f t="shared" si="47"/>
        <v/>
      </c>
      <c r="J87" s="5">
        <f>19.8</f>
        <v>19.8</v>
      </c>
      <c r="K87" s="4"/>
      <c r="L87" s="5">
        <f t="shared" si="48"/>
        <v>19.8</v>
      </c>
      <c r="M87" s="6" t="str">
        <f t="shared" si="49"/>
        <v/>
      </c>
      <c r="N87" s="4"/>
      <c r="O87" s="4"/>
      <c r="P87" s="5">
        <f t="shared" si="50"/>
        <v>0</v>
      </c>
      <c r="Q87" s="6" t="str">
        <f t="shared" si="51"/>
        <v/>
      </c>
      <c r="R87" s="4"/>
      <c r="S87" s="4"/>
      <c r="T87" s="5">
        <f t="shared" si="52"/>
        <v>0</v>
      </c>
      <c r="U87" s="6" t="str">
        <f t="shared" si="53"/>
        <v/>
      </c>
      <c r="V87" s="4"/>
      <c r="W87" s="4"/>
      <c r="X87" s="5">
        <f t="shared" si="54"/>
        <v>0</v>
      </c>
      <c r="Y87" s="6" t="str">
        <f t="shared" si="55"/>
        <v/>
      </c>
      <c r="Z87" s="4"/>
      <c r="AA87" s="4"/>
      <c r="AB87" s="5">
        <f t="shared" si="56"/>
        <v>0</v>
      </c>
      <c r="AC87" s="6" t="str">
        <f t="shared" si="57"/>
        <v/>
      </c>
      <c r="AD87" s="4"/>
      <c r="AE87" s="4"/>
      <c r="AF87" s="5">
        <f t="shared" si="58"/>
        <v>0</v>
      </c>
      <c r="AG87" s="6" t="str">
        <f t="shared" si="59"/>
        <v/>
      </c>
      <c r="AH87" s="4"/>
      <c r="AI87" s="4"/>
      <c r="AJ87" s="5">
        <f t="shared" si="60"/>
        <v>0</v>
      </c>
      <c r="AK87" s="6" t="str">
        <f t="shared" si="61"/>
        <v/>
      </c>
      <c r="AL87" s="5">
        <f t="shared" si="62"/>
        <v>19.8</v>
      </c>
      <c r="AM87" s="5">
        <f t="shared" si="63"/>
        <v>0</v>
      </c>
      <c r="AN87" s="5">
        <f t="shared" si="64"/>
        <v>19.8</v>
      </c>
      <c r="AO87" s="6" t="str">
        <f t="shared" si="65"/>
        <v/>
      </c>
    </row>
    <row r="88" spans="1:41" x14ac:dyDescent="0.25">
      <c r="A88" s="3" t="s">
        <v>95</v>
      </c>
      <c r="B88" s="5">
        <f>300</f>
        <v>300</v>
      </c>
      <c r="C88" s="5">
        <f>300</f>
        <v>300</v>
      </c>
      <c r="D88" s="5">
        <f t="shared" si="44"/>
        <v>0</v>
      </c>
      <c r="E88" s="6">
        <f t="shared" si="45"/>
        <v>1</v>
      </c>
      <c r="F88" s="5">
        <f>300</f>
        <v>300</v>
      </c>
      <c r="G88" s="5">
        <f>300</f>
        <v>300</v>
      </c>
      <c r="H88" s="5">
        <f t="shared" si="46"/>
        <v>0</v>
      </c>
      <c r="I88" s="6">
        <f t="shared" si="47"/>
        <v>1</v>
      </c>
      <c r="J88" s="5">
        <f>300</f>
        <v>300</v>
      </c>
      <c r="K88" s="5">
        <f>300</f>
        <v>300</v>
      </c>
      <c r="L88" s="5">
        <f t="shared" si="48"/>
        <v>0</v>
      </c>
      <c r="M88" s="6">
        <f t="shared" si="49"/>
        <v>1</v>
      </c>
      <c r="N88" s="5">
        <f>300</f>
        <v>300</v>
      </c>
      <c r="O88" s="5">
        <f>300</f>
        <v>300</v>
      </c>
      <c r="P88" s="5">
        <f t="shared" si="50"/>
        <v>0</v>
      </c>
      <c r="Q88" s="6">
        <f t="shared" si="51"/>
        <v>1</v>
      </c>
      <c r="R88" s="5">
        <f>2305.5</f>
        <v>2305.5</v>
      </c>
      <c r="S88" s="5">
        <f>300</f>
        <v>300</v>
      </c>
      <c r="T88" s="5">
        <f t="shared" si="52"/>
        <v>2005.5</v>
      </c>
      <c r="U88" s="6">
        <f t="shared" si="53"/>
        <v>7.6849999999999996</v>
      </c>
      <c r="V88" s="5">
        <f>300</f>
        <v>300</v>
      </c>
      <c r="W88" s="5">
        <f>300</f>
        <v>300</v>
      </c>
      <c r="X88" s="5">
        <f t="shared" si="54"/>
        <v>0</v>
      </c>
      <c r="Y88" s="6">
        <f t="shared" si="55"/>
        <v>1</v>
      </c>
      <c r="Z88" s="5">
        <f>600</f>
        <v>600</v>
      </c>
      <c r="AA88" s="5">
        <f>300</f>
        <v>300</v>
      </c>
      <c r="AB88" s="5">
        <f t="shared" si="56"/>
        <v>300</v>
      </c>
      <c r="AC88" s="6">
        <f t="shared" si="57"/>
        <v>2</v>
      </c>
      <c r="AD88" s="5">
        <f>300</f>
        <v>300</v>
      </c>
      <c r="AE88" s="5">
        <f>300</f>
        <v>300</v>
      </c>
      <c r="AF88" s="5">
        <f t="shared" si="58"/>
        <v>0</v>
      </c>
      <c r="AG88" s="6">
        <f t="shared" si="59"/>
        <v>1</v>
      </c>
      <c r="AH88" s="5">
        <f>300</f>
        <v>300</v>
      </c>
      <c r="AI88" s="5">
        <f>300</f>
        <v>300</v>
      </c>
      <c r="AJ88" s="5">
        <f t="shared" si="60"/>
        <v>0</v>
      </c>
      <c r="AK88" s="6">
        <f t="shared" si="61"/>
        <v>1</v>
      </c>
      <c r="AL88" s="5">
        <f t="shared" si="62"/>
        <v>5005.5</v>
      </c>
      <c r="AM88" s="5">
        <f t="shared" si="63"/>
        <v>2700</v>
      </c>
      <c r="AN88" s="5">
        <f t="shared" si="64"/>
        <v>2305.5</v>
      </c>
      <c r="AO88" s="6">
        <f t="shared" si="65"/>
        <v>1.8538888888888889</v>
      </c>
    </row>
    <row r="89" spans="1:41" x14ac:dyDescent="0.25">
      <c r="A89" s="3" t="s">
        <v>96</v>
      </c>
      <c r="B89" s="4"/>
      <c r="C89" s="4"/>
      <c r="D89" s="5">
        <f t="shared" si="44"/>
        <v>0</v>
      </c>
      <c r="E89" s="6" t="str">
        <f t="shared" si="45"/>
        <v/>
      </c>
      <c r="F89" s="5">
        <f>259.9</f>
        <v>259.89999999999998</v>
      </c>
      <c r="G89" s="4"/>
      <c r="H89" s="5">
        <f t="shared" si="46"/>
        <v>259.89999999999998</v>
      </c>
      <c r="I89" s="6" t="str">
        <f t="shared" si="47"/>
        <v/>
      </c>
      <c r="J89" s="5">
        <f>82.5</f>
        <v>82.5</v>
      </c>
      <c r="K89" s="4"/>
      <c r="L89" s="5">
        <f t="shared" si="48"/>
        <v>82.5</v>
      </c>
      <c r="M89" s="6" t="str">
        <f t="shared" si="49"/>
        <v/>
      </c>
      <c r="N89" s="5">
        <f>432.08</f>
        <v>432.08</v>
      </c>
      <c r="O89" s="4"/>
      <c r="P89" s="5">
        <f t="shared" si="50"/>
        <v>432.08</v>
      </c>
      <c r="Q89" s="6" t="str">
        <f t="shared" si="51"/>
        <v/>
      </c>
      <c r="R89" s="5">
        <f>580.39</f>
        <v>580.39</v>
      </c>
      <c r="S89" s="4"/>
      <c r="T89" s="5">
        <f t="shared" si="52"/>
        <v>580.39</v>
      </c>
      <c r="U89" s="6" t="str">
        <f t="shared" si="53"/>
        <v/>
      </c>
      <c r="V89" s="4"/>
      <c r="W89" s="4"/>
      <c r="X89" s="5">
        <f t="shared" si="54"/>
        <v>0</v>
      </c>
      <c r="Y89" s="6" t="str">
        <f t="shared" si="55"/>
        <v/>
      </c>
      <c r="Z89" s="5">
        <f>840</f>
        <v>840</v>
      </c>
      <c r="AA89" s="4"/>
      <c r="AB89" s="5">
        <f t="shared" si="56"/>
        <v>840</v>
      </c>
      <c r="AC89" s="6" t="str">
        <f t="shared" si="57"/>
        <v/>
      </c>
      <c r="AD89" s="5">
        <f>265.25</f>
        <v>265.25</v>
      </c>
      <c r="AE89" s="4"/>
      <c r="AF89" s="5">
        <f t="shared" si="58"/>
        <v>265.25</v>
      </c>
      <c r="AG89" s="6" t="str">
        <f t="shared" si="59"/>
        <v/>
      </c>
      <c r="AH89" s="5">
        <f>229.88</f>
        <v>229.88</v>
      </c>
      <c r="AI89" s="4"/>
      <c r="AJ89" s="5">
        <f t="shared" si="60"/>
        <v>229.88</v>
      </c>
      <c r="AK89" s="6" t="str">
        <f t="shared" si="61"/>
        <v/>
      </c>
      <c r="AL89" s="5">
        <f t="shared" si="62"/>
        <v>2690</v>
      </c>
      <c r="AM89" s="5">
        <f t="shared" si="63"/>
        <v>0</v>
      </c>
      <c r="AN89" s="5">
        <f t="shared" si="64"/>
        <v>2690</v>
      </c>
      <c r="AO89" s="6" t="str">
        <f t="shared" si="65"/>
        <v/>
      </c>
    </row>
    <row r="90" spans="1:41" x14ac:dyDescent="0.25">
      <c r="A90" s="3" t="s">
        <v>97</v>
      </c>
      <c r="B90" s="5">
        <f>466.75</f>
        <v>466.75</v>
      </c>
      <c r="C90" s="5">
        <f>550</f>
        <v>550</v>
      </c>
      <c r="D90" s="5">
        <f t="shared" si="44"/>
        <v>-83.25</v>
      </c>
      <c r="E90" s="6">
        <f t="shared" si="45"/>
        <v>0.84863636363636363</v>
      </c>
      <c r="F90" s="5">
        <f>471</f>
        <v>471</v>
      </c>
      <c r="G90" s="5">
        <f>550</f>
        <v>550</v>
      </c>
      <c r="H90" s="5">
        <f t="shared" si="46"/>
        <v>-79</v>
      </c>
      <c r="I90" s="6">
        <f t="shared" si="47"/>
        <v>0.85636363636363633</v>
      </c>
      <c r="J90" s="5">
        <f>321</f>
        <v>321</v>
      </c>
      <c r="K90" s="5">
        <f>550</f>
        <v>550</v>
      </c>
      <c r="L90" s="5">
        <f t="shared" si="48"/>
        <v>-229</v>
      </c>
      <c r="M90" s="6">
        <f t="shared" si="49"/>
        <v>0.58363636363636362</v>
      </c>
      <c r="N90" s="5">
        <f>321</f>
        <v>321</v>
      </c>
      <c r="O90" s="5">
        <f>550</f>
        <v>550</v>
      </c>
      <c r="P90" s="5">
        <f t="shared" si="50"/>
        <v>-229</v>
      </c>
      <c r="Q90" s="6">
        <f t="shared" si="51"/>
        <v>0.58363636363636362</v>
      </c>
      <c r="R90" s="5">
        <f>785</f>
        <v>785</v>
      </c>
      <c r="S90" s="5">
        <f>550</f>
        <v>550</v>
      </c>
      <c r="T90" s="5">
        <f t="shared" si="52"/>
        <v>235</v>
      </c>
      <c r="U90" s="6">
        <f t="shared" si="53"/>
        <v>1.4272727272727272</v>
      </c>
      <c r="V90" s="5">
        <f>385</f>
        <v>385</v>
      </c>
      <c r="W90" s="5">
        <f>1500</f>
        <v>1500</v>
      </c>
      <c r="X90" s="5">
        <f t="shared" si="54"/>
        <v>-1115</v>
      </c>
      <c r="Y90" s="6">
        <f t="shared" si="55"/>
        <v>0.25666666666666665</v>
      </c>
      <c r="Z90" s="5">
        <f>518.74</f>
        <v>518.74</v>
      </c>
      <c r="AA90" s="5">
        <f>550</f>
        <v>550</v>
      </c>
      <c r="AB90" s="5">
        <f t="shared" si="56"/>
        <v>-31.259999999999991</v>
      </c>
      <c r="AC90" s="6">
        <f t="shared" si="57"/>
        <v>0.94316363636363643</v>
      </c>
      <c r="AD90" s="5">
        <f>224.99</f>
        <v>224.99</v>
      </c>
      <c r="AE90" s="5">
        <f>550</f>
        <v>550</v>
      </c>
      <c r="AF90" s="5">
        <f t="shared" si="58"/>
        <v>-325.01</v>
      </c>
      <c r="AG90" s="6">
        <f t="shared" si="59"/>
        <v>0.40907272727272731</v>
      </c>
      <c r="AH90" s="5">
        <f>700.75</f>
        <v>700.75</v>
      </c>
      <c r="AI90" s="5">
        <f>550</f>
        <v>550</v>
      </c>
      <c r="AJ90" s="5">
        <f t="shared" si="60"/>
        <v>150.75</v>
      </c>
      <c r="AK90" s="6">
        <f t="shared" si="61"/>
        <v>1.2740909090909092</v>
      </c>
      <c r="AL90" s="5">
        <f t="shared" si="62"/>
        <v>4194.2299999999996</v>
      </c>
      <c r="AM90" s="5">
        <f t="shared" si="63"/>
        <v>5900</v>
      </c>
      <c r="AN90" s="5">
        <f t="shared" si="64"/>
        <v>-1705.7700000000004</v>
      </c>
      <c r="AO90" s="6">
        <f t="shared" si="65"/>
        <v>0.71088644067796602</v>
      </c>
    </row>
    <row r="91" spans="1:41" x14ac:dyDescent="0.25">
      <c r="A91" s="3" t="s">
        <v>98</v>
      </c>
      <c r="B91" s="4"/>
      <c r="C91" s="5">
        <f>0</f>
        <v>0</v>
      </c>
      <c r="D91" s="5">
        <f t="shared" si="44"/>
        <v>0</v>
      </c>
      <c r="E91" s="6" t="str">
        <f t="shared" si="45"/>
        <v/>
      </c>
      <c r="F91" s="5">
        <f>145.77</f>
        <v>145.77000000000001</v>
      </c>
      <c r="G91" s="5">
        <f>0</f>
        <v>0</v>
      </c>
      <c r="H91" s="5">
        <f t="shared" si="46"/>
        <v>145.77000000000001</v>
      </c>
      <c r="I91" s="6" t="str">
        <f t="shared" si="47"/>
        <v/>
      </c>
      <c r="J91" s="4"/>
      <c r="K91" s="5">
        <f>700</f>
        <v>700</v>
      </c>
      <c r="L91" s="5">
        <f t="shared" si="48"/>
        <v>-700</v>
      </c>
      <c r="M91" s="6">
        <f t="shared" si="49"/>
        <v>0</v>
      </c>
      <c r="N91" s="4"/>
      <c r="O91" s="5">
        <f>800</f>
        <v>800</v>
      </c>
      <c r="P91" s="5">
        <f t="shared" si="50"/>
        <v>-800</v>
      </c>
      <c r="Q91" s="6">
        <f t="shared" si="51"/>
        <v>0</v>
      </c>
      <c r="R91" s="5">
        <f>2495.04</f>
        <v>2495.04</v>
      </c>
      <c r="S91" s="5">
        <f>0</f>
        <v>0</v>
      </c>
      <c r="T91" s="5">
        <f t="shared" si="52"/>
        <v>2495.04</v>
      </c>
      <c r="U91" s="6" t="str">
        <f t="shared" si="53"/>
        <v/>
      </c>
      <c r="V91" s="5">
        <f>-2739.46</f>
        <v>-2739.46</v>
      </c>
      <c r="W91" s="5">
        <f>0</f>
        <v>0</v>
      </c>
      <c r="X91" s="5">
        <f t="shared" si="54"/>
        <v>-2739.46</v>
      </c>
      <c r="Y91" s="6" t="str">
        <f t="shared" si="55"/>
        <v/>
      </c>
      <c r="Z91" s="5">
        <f>215.91</f>
        <v>215.91</v>
      </c>
      <c r="AA91" s="5">
        <f>0</f>
        <v>0</v>
      </c>
      <c r="AB91" s="5">
        <f t="shared" si="56"/>
        <v>215.91</v>
      </c>
      <c r="AC91" s="6" t="str">
        <f t="shared" si="57"/>
        <v/>
      </c>
      <c r="AD91" s="5">
        <f>22.2</f>
        <v>22.2</v>
      </c>
      <c r="AE91" s="5">
        <f>0</f>
        <v>0</v>
      </c>
      <c r="AF91" s="5">
        <f t="shared" si="58"/>
        <v>22.2</v>
      </c>
      <c r="AG91" s="6" t="str">
        <f t="shared" si="59"/>
        <v/>
      </c>
      <c r="AH91" s="4"/>
      <c r="AI91" s="5">
        <f>0</f>
        <v>0</v>
      </c>
      <c r="AJ91" s="5">
        <f t="shared" si="60"/>
        <v>0</v>
      </c>
      <c r="AK91" s="6" t="str">
        <f t="shared" si="61"/>
        <v/>
      </c>
      <c r="AL91" s="5">
        <f t="shared" si="62"/>
        <v>139.45999999999989</v>
      </c>
      <c r="AM91" s="5">
        <f t="shared" si="63"/>
        <v>1500</v>
      </c>
      <c r="AN91" s="5">
        <f t="shared" si="64"/>
        <v>-1360.5400000000002</v>
      </c>
      <c r="AO91" s="6">
        <f t="shared" si="65"/>
        <v>9.2973333333333269E-2</v>
      </c>
    </row>
    <row r="92" spans="1:41" x14ac:dyDescent="0.25">
      <c r="A92" s="3" t="s">
        <v>99</v>
      </c>
      <c r="B92" s="5">
        <f>26.1</f>
        <v>26.1</v>
      </c>
      <c r="C92" s="5">
        <f>0</f>
        <v>0</v>
      </c>
      <c r="D92" s="5">
        <f t="shared" si="44"/>
        <v>26.1</v>
      </c>
      <c r="E92" s="6" t="str">
        <f t="shared" si="45"/>
        <v/>
      </c>
      <c r="F92" s="4"/>
      <c r="G92" s="5">
        <f>0</f>
        <v>0</v>
      </c>
      <c r="H92" s="5">
        <f t="shared" si="46"/>
        <v>0</v>
      </c>
      <c r="I92" s="6" t="str">
        <f t="shared" si="47"/>
        <v/>
      </c>
      <c r="J92" s="4"/>
      <c r="K92" s="5">
        <f>0</f>
        <v>0</v>
      </c>
      <c r="L92" s="5">
        <f t="shared" si="48"/>
        <v>0</v>
      </c>
      <c r="M92" s="6" t="str">
        <f t="shared" si="49"/>
        <v/>
      </c>
      <c r="N92" s="4"/>
      <c r="O92" s="5">
        <f>600</f>
        <v>600</v>
      </c>
      <c r="P92" s="5">
        <f t="shared" si="50"/>
        <v>-600</v>
      </c>
      <c r="Q92" s="6">
        <f t="shared" si="51"/>
        <v>0</v>
      </c>
      <c r="R92" s="4"/>
      <c r="S92" s="5">
        <f>700</f>
        <v>700</v>
      </c>
      <c r="T92" s="5">
        <f t="shared" si="52"/>
        <v>-700</v>
      </c>
      <c r="U92" s="6">
        <f t="shared" si="53"/>
        <v>0</v>
      </c>
      <c r="V92" s="4"/>
      <c r="W92" s="5">
        <f>0</f>
        <v>0</v>
      </c>
      <c r="X92" s="5">
        <f t="shared" si="54"/>
        <v>0</v>
      </c>
      <c r="Y92" s="6" t="str">
        <f t="shared" si="55"/>
        <v/>
      </c>
      <c r="Z92" s="4"/>
      <c r="AA92" s="5">
        <f>0</f>
        <v>0</v>
      </c>
      <c r="AB92" s="5">
        <f t="shared" si="56"/>
        <v>0</v>
      </c>
      <c r="AC92" s="6" t="str">
        <f t="shared" si="57"/>
        <v/>
      </c>
      <c r="AD92" s="4"/>
      <c r="AE92" s="5">
        <f>0</f>
        <v>0</v>
      </c>
      <c r="AF92" s="5">
        <f t="shared" si="58"/>
        <v>0</v>
      </c>
      <c r="AG92" s="6" t="str">
        <f t="shared" si="59"/>
        <v/>
      </c>
      <c r="AH92" s="4"/>
      <c r="AI92" s="5">
        <f>0</f>
        <v>0</v>
      </c>
      <c r="AJ92" s="5">
        <f t="shared" si="60"/>
        <v>0</v>
      </c>
      <c r="AK92" s="6" t="str">
        <f t="shared" si="61"/>
        <v/>
      </c>
      <c r="AL92" s="5">
        <f t="shared" si="62"/>
        <v>26.1</v>
      </c>
      <c r="AM92" s="5">
        <f t="shared" si="63"/>
        <v>1300</v>
      </c>
      <c r="AN92" s="5">
        <f t="shared" si="64"/>
        <v>-1273.9000000000001</v>
      </c>
      <c r="AO92" s="6">
        <f t="shared" si="65"/>
        <v>2.0076923076923079E-2</v>
      </c>
    </row>
    <row r="93" spans="1:41" x14ac:dyDescent="0.25">
      <c r="A93" s="3" t="s">
        <v>100</v>
      </c>
      <c r="B93" s="4"/>
      <c r="C93" s="5">
        <f>200</f>
        <v>200</v>
      </c>
      <c r="D93" s="5">
        <f t="shared" si="44"/>
        <v>-200</v>
      </c>
      <c r="E93" s="6">
        <f t="shared" si="45"/>
        <v>0</v>
      </c>
      <c r="F93" s="5">
        <f>758.4</f>
        <v>758.4</v>
      </c>
      <c r="G93" s="5">
        <f>200</f>
        <v>200</v>
      </c>
      <c r="H93" s="5">
        <f t="shared" si="46"/>
        <v>558.4</v>
      </c>
      <c r="I93" s="6">
        <f t="shared" si="47"/>
        <v>3.7919999999999998</v>
      </c>
      <c r="J93" s="4"/>
      <c r="K93" s="5">
        <f>200</f>
        <v>200</v>
      </c>
      <c r="L93" s="5">
        <f t="shared" si="48"/>
        <v>-200</v>
      </c>
      <c r="M93" s="6">
        <f t="shared" si="49"/>
        <v>0</v>
      </c>
      <c r="N93" s="5">
        <f>200</f>
        <v>200</v>
      </c>
      <c r="O93" s="5">
        <f>200</f>
        <v>200</v>
      </c>
      <c r="P93" s="5">
        <f t="shared" si="50"/>
        <v>0</v>
      </c>
      <c r="Q93" s="6">
        <f t="shared" si="51"/>
        <v>1</v>
      </c>
      <c r="R93" s="5">
        <f>200</f>
        <v>200</v>
      </c>
      <c r="S93" s="5">
        <f>200</f>
        <v>200</v>
      </c>
      <c r="T93" s="5">
        <f t="shared" si="52"/>
        <v>0</v>
      </c>
      <c r="U93" s="6">
        <f t="shared" si="53"/>
        <v>1</v>
      </c>
      <c r="V93" s="5">
        <f>200</f>
        <v>200</v>
      </c>
      <c r="W93" s="5">
        <f>200</f>
        <v>200</v>
      </c>
      <c r="X93" s="5">
        <f t="shared" si="54"/>
        <v>0</v>
      </c>
      <c r="Y93" s="6">
        <f t="shared" si="55"/>
        <v>1</v>
      </c>
      <c r="Z93" s="4"/>
      <c r="AA93" s="5">
        <f>200</f>
        <v>200</v>
      </c>
      <c r="AB93" s="5">
        <f t="shared" si="56"/>
        <v>-200</v>
      </c>
      <c r="AC93" s="6">
        <f t="shared" si="57"/>
        <v>0</v>
      </c>
      <c r="AD93" s="4"/>
      <c r="AE93" s="5">
        <f>200</f>
        <v>200</v>
      </c>
      <c r="AF93" s="5">
        <f t="shared" si="58"/>
        <v>-200</v>
      </c>
      <c r="AG93" s="6">
        <f t="shared" si="59"/>
        <v>0</v>
      </c>
      <c r="AH93" s="5">
        <f>200</f>
        <v>200</v>
      </c>
      <c r="AI93" s="5">
        <f>200</f>
        <v>200</v>
      </c>
      <c r="AJ93" s="5">
        <f t="shared" si="60"/>
        <v>0</v>
      </c>
      <c r="AK93" s="6">
        <f t="shared" si="61"/>
        <v>1</v>
      </c>
      <c r="AL93" s="5">
        <f t="shared" si="62"/>
        <v>1558.4</v>
      </c>
      <c r="AM93" s="5">
        <f t="shared" si="63"/>
        <v>1800</v>
      </c>
      <c r="AN93" s="5">
        <f t="shared" si="64"/>
        <v>-241.59999999999991</v>
      </c>
      <c r="AO93" s="6">
        <f t="shared" si="65"/>
        <v>0.86577777777777787</v>
      </c>
    </row>
    <row r="94" spans="1:41" x14ac:dyDescent="0.25">
      <c r="A94" s="3" t="s">
        <v>101</v>
      </c>
      <c r="B94" s="4"/>
      <c r="C94" s="5">
        <f>200</f>
        <v>200</v>
      </c>
      <c r="D94" s="5">
        <f t="shared" si="44"/>
        <v>-200</v>
      </c>
      <c r="E94" s="6">
        <f t="shared" si="45"/>
        <v>0</v>
      </c>
      <c r="F94" s="5">
        <f>355</f>
        <v>355</v>
      </c>
      <c r="G94" s="5">
        <f>800</f>
        <v>800</v>
      </c>
      <c r="H94" s="5">
        <f t="shared" si="46"/>
        <v>-445</v>
      </c>
      <c r="I94" s="6">
        <f t="shared" si="47"/>
        <v>0.44374999999999998</v>
      </c>
      <c r="J94" s="4"/>
      <c r="K94" s="5">
        <f>100</f>
        <v>100</v>
      </c>
      <c r="L94" s="5">
        <f t="shared" si="48"/>
        <v>-100</v>
      </c>
      <c r="M94" s="6">
        <f t="shared" si="49"/>
        <v>0</v>
      </c>
      <c r="N94" s="4"/>
      <c r="O94" s="5">
        <f>200</f>
        <v>200</v>
      </c>
      <c r="P94" s="5">
        <f t="shared" si="50"/>
        <v>-200</v>
      </c>
      <c r="Q94" s="6">
        <f t="shared" si="51"/>
        <v>0</v>
      </c>
      <c r="R94" s="4"/>
      <c r="S94" s="5">
        <f>100</f>
        <v>100</v>
      </c>
      <c r="T94" s="5">
        <f t="shared" si="52"/>
        <v>-100</v>
      </c>
      <c r="U94" s="6">
        <f t="shared" si="53"/>
        <v>0</v>
      </c>
      <c r="V94" s="5">
        <f>400</f>
        <v>400</v>
      </c>
      <c r="W94" s="5">
        <f>200</f>
        <v>200</v>
      </c>
      <c r="X94" s="5">
        <f t="shared" si="54"/>
        <v>200</v>
      </c>
      <c r="Y94" s="6">
        <f t="shared" si="55"/>
        <v>2</v>
      </c>
      <c r="Z94" s="4"/>
      <c r="AA94" s="5">
        <f>200</f>
        <v>200</v>
      </c>
      <c r="AB94" s="5">
        <f t="shared" si="56"/>
        <v>-200</v>
      </c>
      <c r="AC94" s="6">
        <f t="shared" si="57"/>
        <v>0</v>
      </c>
      <c r="AD94" s="4"/>
      <c r="AE94" s="5">
        <f>800</f>
        <v>800</v>
      </c>
      <c r="AF94" s="5">
        <f t="shared" si="58"/>
        <v>-800</v>
      </c>
      <c r="AG94" s="6">
        <f t="shared" si="59"/>
        <v>0</v>
      </c>
      <c r="AH94" s="4"/>
      <c r="AI94" s="5">
        <f>200</f>
        <v>200</v>
      </c>
      <c r="AJ94" s="5">
        <f t="shared" si="60"/>
        <v>-200</v>
      </c>
      <c r="AK94" s="6">
        <f t="shared" si="61"/>
        <v>0</v>
      </c>
      <c r="AL94" s="5">
        <f t="shared" si="62"/>
        <v>755</v>
      </c>
      <c r="AM94" s="5">
        <f t="shared" si="63"/>
        <v>2800</v>
      </c>
      <c r="AN94" s="5">
        <f t="shared" si="64"/>
        <v>-2045</v>
      </c>
      <c r="AO94" s="6">
        <f t="shared" si="65"/>
        <v>0.26964285714285713</v>
      </c>
    </row>
    <row r="95" spans="1:41" x14ac:dyDescent="0.25">
      <c r="A95" s="3" t="s">
        <v>102</v>
      </c>
      <c r="B95" s="4"/>
      <c r="C95" s="5">
        <f>0</f>
        <v>0</v>
      </c>
      <c r="D95" s="5">
        <f t="shared" si="44"/>
        <v>0</v>
      </c>
      <c r="E95" s="6" t="str">
        <f t="shared" si="45"/>
        <v/>
      </c>
      <c r="F95" s="4"/>
      <c r="G95" s="5">
        <f>0</f>
        <v>0</v>
      </c>
      <c r="H95" s="5">
        <f t="shared" si="46"/>
        <v>0</v>
      </c>
      <c r="I95" s="6" t="str">
        <f t="shared" si="47"/>
        <v/>
      </c>
      <c r="J95" s="4"/>
      <c r="K95" s="5">
        <f>0</f>
        <v>0</v>
      </c>
      <c r="L95" s="5">
        <f t="shared" si="48"/>
        <v>0</v>
      </c>
      <c r="M95" s="6" t="str">
        <f t="shared" si="49"/>
        <v/>
      </c>
      <c r="N95" s="4"/>
      <c r="O95" s="5">
        <f>0</f>
        <v>0</v>
      </c>
      <c r="P95" s="5">
        <f t="shared" si="50"/>
        <v>0</v>
      </c>
      <c r="Q95" s="6" t="str">
        <f t="shared" si="51"/>
        <v/>
      </c>
      <c r="R95" s="4"/>
      <c r="S95" s="5">
        <f>0</f>
        <v>0</v>
      </c>
      <c r="T95" s="5">
        <f t="shared" si="52"/>
        <v>0</v>
      </c>
      <c r="U95" s="6" t="str">
        <f t="shared" si="53"/>
        <v/>
      </c>
      <c r="V95" s="4"/>
      <c r="W95" s="5">
        <f>0</f>
        <v>0</v>
      </c>
      <c r="X95" s="5">
        <f t="shared" si="54"/>
        <v>0</v>
      </c>
      <c r="Y95" s="6" t="str">
        <f t="shared" si="55"/>
        <v/>
      </c>
      <c r="Z95" s="4"/>
      <c r="AA95" s="5">
        <f>0</f>
        <v>0</v>
      </c>
      <c r="AB95" s="5">
        <f t="shared" si="56"/>
        <v>0</v>
      </c>
      <c r="AC95" s="6" t="str">
        <f t="shared" si="57"/>
        <v/>
      </c>
      <c r="AD95" s="4"/>
      <c r="AE95" s="5">
        <f>0</f>
        <v>0</v>
      </c>
      <c r="AF95" s="5">
        <f t="shared" si="58"/>
        <v>0</v>
      </c>
      <c r="AG95" s="6" t="str">
        <f t="shared" si="59"/>
        <v/>
      </c>
      <c r="AH95" s="4"/>
      <c r="AI95" s="5">
        <f>0</f>
        <v>0</v>
      </c>
      <c r="AJ95" s="5">
        <f t="shared" si="60"/>
        <v>0</v>
      </c>
      <c r="AK95" s="6" t="str">
        <f t="shared" si="61"/>
        <v/>
      </c>
      <c r="AL95" s="5">
        <f t="shared" si="62"/>
        <v>0</v>
      </c>
      <c r="AM95" s="5">
        <f t="shared" si="63"/>
        <v>0</v>
      </c>
      <c r="AN95" s="5">
        <f t="shared" si="64"/>
        <v>0</v>
      </c>
      <c r="AO95" s="6" t="str">
        <f t="shared" si="65"/>
        <v/>
      </c>
    </row>
    <row r="96" spans="1:41" x14ac:dyDescent="0.25">
      <c r="A96" s="3" t="s">
        <v>103</v>
      </c>
      <c r="B96" s="5">
        <f>317.81</f>
        <v>317.81</v>
      </c>
      <c r="C96" s="5">
        <f>0</f>
        <v>0</v>
      </c>
      <c r="D96" s="5">
        <f t="shared" si="44"/>
        <v>317.81</v>
      </c>
      <c r="E96" s="6" t="str">
        <f t="shared" si="45"/>
        <v/>
      </c>
      <c r="F96" s="4"/>
      <c r="G96" s="5">
        <f>0</f>
        <v>0</v>
      </c>
      <c r="H96" s="5">
        <f t="shared" si="46"/>
        <v>0</v>
      </c>
      <c r="I96" s="6" t="str">
        <f t="shared" si="47"/>
        <v/>
      </c>
      <c r="J96" s="4"/>
      <c r="K96" s="5">
        <f>0</f>
        <v>0</v>
      </c>
      <c r="L96" s="5">
        <f t="shared" si="48"/>
        <v>0</v>
      </c>
      <c r="M96" s="6" t="str">
        <f t="shared" si="49"/>
        <v/>
      </c>
      <c r="N96" s="5">
        <f>250</f>
        <v>250</v>
      </c>
      <c r="O96" s="5">
        <f>0</f>
        <v>0</v>
      </c>
      <c r="P96" s="5">
        <f t="shared" si="50"/>
        <v>250</v>
      </c>
      <c r="Q96" s="6" t="str">
        <f t="shared" si="51"/>
        <v/>
      </c>
      <c r="R96" s="4"/>
      <c r="S96" s="5">
        <f>0</f>
        <v>0</v>
      </c>
      <c r="T96" s="5">
        <f t="shared" si="52"/>
        <v>0</v>
      </c>
      <c r="U96" s="6" t="str">
        <f t="shared" si="53"/>
        <v/>
      </c>
      <c r="V96" s="4"/>
      <c r="W96" s="5">
        <f>0</f>
        <v>0</v>
      </c>
      <c r="X96" s="5">
        <f t="shared" si="54"/>
        <v>0</v>
      </c>
      <c r="Y96" s="6" t="str">
        <f t="shared" si="55"/>
        <v/>
      </c>
      <c r="Z96" s="5">
        <f>290</f>
        <v>290</v>
      </c>
      <c r="AA96" s="5">
        <f>0</f>
        <v>0</v>
      </c>
      <c r="AB96" s="5">
        <f t="shared" si="56"/>
        <v>290</v>
      </c>
      <c r="AC96" s="6" t="str">
        <f t="shared" si="57"/>
        <v/>
      </c>
      <c r="AD96" s="5">
        <f>200</f>
        <v>200</v>
      </c>
      <c r="AE96" s="5">
        <f>0</f>
        <v>0</v>
      </c>
      <c r="AF96" s="5">
        <f t="shared" si="58"/>
        <v>200</v>
      </c>
      <c r="AG96" s="6" t="str">
        <f t="shared" si="59"/>
        <v/>
      </c>
      <c r="AH96" s="4"/>
      <c r="AI96" s="5">
        <f>0</f>
        <v>0</v>
      </c>
      <c r="AJ96" s="5">
        <f t="shared" si="60"/>
        <v>0</v>
      </c>
      <c r="AK96" s="6" t="str">
        <f t="shared" si="61"/>
        <v/>
      </c>
      <c r="AL96" s="5">
        <f t="shared" si="62"/>
        <v>1057.81</v>
      </c>
      <c r="AM96" s="5">
        <f t="shared" si="63"/>
        <v>0</v>
      </c>
      <c r="AN96" s="5">
        <f t="shared" si="64"/>
        <v>1057.81</v>
      </c>
      <c r="AO96" s="6" t="str">
        <f t="shared" si="65"/>
        <v/>
      </c>
    </row>
    <row r="97" spans="1:41" x14ac:dyDescent="0.25">
      <c r="A97" s="3" t="s">
        <v>104</v>
      </c>
      <c r="B97" s="7">
        <f>(((((((((((((((B81)+(B82))+(B83))+(B84))+(B85))+(B86))+(B87))+(B88))+(B89))+(B90))+(B91))+(B92))+(B93))+(B94))+(B95))+(B96)</f>
        <v>8048.85</v>
      </c>
      <c r="C97" s="7">
        <f>(((((((((((((((C81)+(C82))+(C83))+(C84))+(C85))+(C86))+(C87))+(C88))+(C89))+(C90))+(C91))+(C92))+(C93))+(C94))+(C95))+(C96)</f>
        <v>7967</v>
      </c>
      <c r="D97" s="7">
        <f t="shared" si="44"/>
        <v>81.850000000000364</v>
      </c>
      <c r="E97" s="8">
        <f t="shared" si="45"/>
        <v>1.0102736287184637</v>
      </c>
      <c r="F97" s="7">
        <f>(((((((((((((((F81)+(F82))+(F83))+(F84))+(F85))+(F86))+(F87))+(F88))+(F89))+(F90))+(F91))+(F92))+(F93))+(F94))+(F95))+(F96)</f>
        <v>9762.9499999999989</v>
      </c>
      <c r="G97" s="7">
        <f>(((((((((((((((G81)+(G82))+(G83))+(G84))+(G85))+(G86))+(G87))+(G88))+(G89))+(G90))+(G91))+(G92))+(G93))+(G94))+(G95))+(G96)</f>
        <v>8567</v>
      </c>
      <c r="H97" s="7">
        <f t="shared" si="46"/>
        <v>1195.9499999999989</v>
      </c>
      <c r="I97" s="8">
        <f t="shared" si="47"/>
        <v>1.1395996264736779</v>
      </c>
      <c r="J97" s="7">
        <f>(((((((((((((((J81)+(J82))+(J83))+(J84))+(J85))+(J86))+(J87))+(J88))+(J89))+(J90))+(J91))+(J92))+(J93))+(J94))+(J95))+(J96)</f>
        <v>7731.2500000000009</v>
      </c>
      <c r="K97" s="7">
        <f>(((((((((((((((K81)+(K82))+(K83))+(K84))+(K85))+(K86))+(K87))+(K88))+(K89))+(K90))+(K91))+(K92))+(K93))+(K94))+(K95))+(K96)</f>
        <v>8567</v>
      </c>
      <c r="L97" s="7">
        <f t="shared" si="48"/>
        <v>-835.74999999999909</v>
      </c>
      <c r="M97" s="8">
        <f t="shared" si="49"/>
        <v>0.90244543013890521</v>
      </c>
      <c r="N97" s="7">
        <f>(((((((((((((((N81)+(N82))+(N83))+(N84))+(N85))+(N86))+(N87))+(N88))+(N89))+(N90))+(N91))+(N92))+(N93))+(N94))+(N95))+(N96)</f>
        <v>8803.07</v>
      </c>
      <c r="O97" s="7">
        <f>(((((((((((((((O81)+(O82))+(O83))+(O84))+(O85))+(O86))+(O87))+(O88))+(O89))+(O90))+(O91))+(O92))+(O93))+(O94))+(O95))+(O96)</f>
        <v>9867</v>
      </c>
      <c r="P97" s="7">
        <f t="shared" si="50"/>
        <v>-1063.9300000000003</v>
      </c>
      <c r="Q97" s="8">
        <f t="shared" si="51"/>
        <v>0.89217289956420387</v>
      </c>
      <c r="R97" s="7">
        <f>(((((((((((((((R81)+(R82))+(R83))+(R84))+(R85))+(R86))+(R87))+(R88))+(R89))+(R90))+(R91))+(R92))+(R93))+(R94))+(R95))+(R96)</f>
        <v>11636.880000000001</v>
      </c>
      <c r="S97" s="7">
        <f>(((((((((((((((S81)+(S82))+(S83))+(S84))+(S85))+(S86))+(S87))+(S88))+(S89))+(S90))+(S91))+(S92))+(S93))+(S94))+(S95))+(S96)</f>
        <v>8567</v>
      </c>
      <c r="T97" s="7">
        <f t="shared" si="52"/>
        <v>3069.880000000001</v>
      </c>
      <c r="U97" s="8">
        <f t="shared" si="53"/>
        <v>1.3583378078673982</v>
      </c>
      <c r="V97" s="7">
        <f>(((((((((((((((V81)+(V82))+(V83))+(V84))+(V85))+(V86))+(V87))+(V88))+(V89))+(V90))+(V91))+(V92))+(V93))+(V94))+(V95))+(V96)</f>
        <v>7281.6599999999989</v>
      </c>
      <c r="W97" s="7">
        <f>(((((((((((((((W81)+(W82))+(W83))+(W84))+(W85))+(W86))+(W87))+(W88))+(W89))+(W90))+(W91))+(W92))+(W93))+(W94))+(W95))+(W96)</f>
        <v>8917</v>
      </c>
      <c r="X97" s="7">
        <f t="shared" si="54"/>
        <v>-1635.3400000000011</v>
      </c>
      <c r="Y97" s="8">
        <f t="shared" si="55"/>
        <v>0.81660423909386548</v>
      </c>
      <c r="Z97" s="7">
        <f>(((((((((((((((Z81)+(Z82))+(Z83))+(Z84))+(Z85))+(Z86))+(Z87))+(Z88))+(Z89))+(Z90))+(Z91))+(Z92))+(Z93))+(Z94))+(Z95))+(Z96)</f>
        <v>8343.43</v>
      </c>
      <c r="AA97" s="7">
        <f>(((((((((((((((AA81)+(AA82))+(AA83))+(AA84))+(AA85))+(AA86))+(AA87))+(AA88))+(AA89))+(AA90))+(AA91))+(AA92))+(AA93))+(AA94))+(AA95))+(AA96)</f>
        <v>7967</v>
      </c>
      <c r="AB97" s="7">
        <f t="shared" si="56"/>
        <v>376.43000000000029</v>
      </c>
      <c r="AC97" s="8">
        <f t="shared" si="57"/>
        <v>1.0472486506840719</v>
      </c>
      <c r="AD97" s="7">
        <f>(((((((((((((((AD81)+(AD82))+(AD83))+(AD84))+(AD85))+(AD86))+(AD87))+(AD88))+(AD89))+(AD90))+(AD91))+(AD92))+(AD93))+(AD94))+(AD95))+(AD96)</f>
        <v>7397.5</v>
      </c>
      <c r="AE97" s="7">
        <f>(((((((((((((((AE81)+(AE82))+(AE83))+(AE84))+(AE85))+(AE86))+(AE87))+(AE88))+(AE89))+(AE90))+(AE91))+(AE92))+(AE93))+(AE94))+(AE95))+(AE96)</f>
        <v>8567</v>
      </c>
      <c r="AF97" s="7">
        <f t="shared" si="58"/>
        <v>-1169.5</v>
      </c>
      <c r="AG97" s="8">
        <f t="shared" si="59"/>
        <v>0.86348780203104936</v>
      </c>
      <c r="AH97" s="7">
        <f>(((((((((((((((AH81)+(AH82))+(AH83))+(AH84))+(AH85))+(AH86))+(AH87))+(AH88))+(AH89))+(AH90))+(AH91))+(AH92))+(AH93))+(AH94))+(AH95))+(AH96)</f>
        <v>7826.7300000000005</v>
      </c>
      <c r="AI97" s="7">
        <f>(((((((((((((((AI81)+(AI82))+(AI83))+(AI84))+(AI85))+(AI86))+(AI87))+(AI88))+(AI89))+(AI90))+(AI91))+(AI92))+(AI93))+(AI94))+(AI95))+(AI96)</f>
        <v>8467</v>
      </c>
      <c r="AJ97" s="7">
        <f t="shared" si="60"/>
        <v>-640.26999999999953</v>
      </c>
      <c r="AK97" s="8">
        <f t="shared" si="61"/>
        <v>0.92438053619936233</v>
      </c>
      <c r="AL97" s="7">
        <f t="shared" si="62"/>
        <v>76832.319999999992</v>
      </c>
      <c r="AM97" s="7">
        <f t="shared" si="63"/>
        <v>77453</v>
      </c>
      <c r="AN97" s="7">
        <f t="shared" si="64"/>
        <v>-620.68000000000757</v>
      </c>
      <c r="AO97" s="8">
        <f t="shared" si="65"/>
        <v>0.99198636592514156</v>
      </c>
    </row>
    <row r="98" spans="1:41" x14ac:dyDescent="0.25">
      <c r="A98" s="3" t="s">
        <v>105</v>
      </c>
      <c r="B98" s="4"/>
      <c r="C98" s="4"/>
      <c r="D98" s="5">
        <f t="shared" si="44"/>
        <v>0</v>
      </c>
      <c r="E98" s="6" t="str">
        <f t="shared" si="45"/>
        <v/>
      </c>
      <c r="F98" s="4"/>
      <c r="G98" s="4"/>
      <c r="H98" s="5">
        <f t="shared" si="46"/>
        <v>0</v>
      </c>
      <c r="I98" s="6" t="str">
        <f t="shared" si="47"/>
        <v/>
      </c>
      <c r="J98" s="4"/>
      <c r="K98" s="4"/>
      <c r="L98" s="5">
        <f t="shared" si="48"/>
        <v>0</v>
      </c>
      <c r="M98" s="6" t="str">
        <f t="shared" si="49"/>
        <v/>
      </c>
      <c r="N98" s="4"/>
      <c r="O98" s="4"/>
      <c r="P98" s="5">
        <f t="shared" si="50"/>
        <v>0</v>
      </c>
      <c r="Q98" s="6" t="str">
        <f t="shared" si="51"/>
        <v/>
      </c>
      <c r="R98" s="4"/>
      <c r="S98" s="4"/>
      <c r="T98" s="5">
        <f t="shared" si="52"/>
        <v>0</v>
      </c>
      <c r="U98" s="6" t="str">
        <f t="shared" si="53"/>
        <v/>
      </c>
      <c r="V98" s="4"/>
      <c r="W98" s="4"/>
      <c r="X98" s="5">
        <f t="shared" si="54"/>
        <v>0</v>
      </c>
      <c r="Y98" s="6" t="str">
        <f t="shared" si="55"/>
        <v/>
      </c>
      <c r="Z98" s="4"/>
      <c r="AA98" s="4"/>
      <c r="AB98" s="5">
        <f t="shared" si="56"/>
        <v>0</v>
      </c>
      <c r="AC98" s="6" t="str">
        <f t="shared" si="57"/>
        <v/>
      </c>
      <c r="AD98" s="4"/>
      <c r="AE98" s="4"/>
      <c r="AF98" s="5">
        <f t="shared" si="58"/>
        <v>0</v>
      </c>
      <c r="AG98" s="6" t="str">
        <f t="shared" si="59"/>
        <v/>
      </c>
      <c r="AH98" s="4"/>
      <c r="AI98" s="4"/>
      <c r="AJ98" s="5">
        <f t="shared" si="60"/>
        <v>0</v>
      </c>
      <c r="AK98" s="6" t="str">
        <f t="shared" si="61"/>
        <v/>
      </c>
      <c r="AL98" s="5">
        <f t="shared" si="62"/>
        <v>0</v>
      </c>
      <c r="AM98" s="5">
        <f t="shared" si="63"/>
        <v>0</v>
      </c>
      <c r="AN98" s="5">
        <f t="shared" si="64"/>
        <v>0</v>
      </c>
      <c r="AO98" s="6" t="str">
        <f t="shared" si="65"/>
        <v/>
      </c>
    </row>
    <row r="99" spans="1:41" x14ac:dyDescent="0.25">
      <c r="A99" s="3" t="s">
        <v>106</v>
      </c>
      <c r="B99" s="5">
        <f>341.48</f>
        <v>341.48</v>
      </c>
      <c r="C99" s="5">
        <f>350</f>
        <v>350</v>
      </c>
      <c r="D99" s="5">
        <f t="shared" si="44"/>
        <v>-8.5199999999999818</v>
      </c>
      <c r="E99" s="6">
        <f t="shared" si="45"/>
        <v>0.97565714285714289</v>
      </c>
      <c r="F99" s="5">
        <f>367.5</f>
        <v>367.5</v>
      </c>
      <c r="G99" s="5">
        <f>350</f>
        <v>350</v>
      </c>
      <c r="H99" s="5">
        <f t="shared" si="46"/>
        <v>17.5</v>
      </c>
      <c r="I99" s="6">
        <f t="shared" si="47"/>
        <v>1.05</v>
      </c>
      <c r="J99" s="5">
        <f>367.5</f>
        <v>367.5</v>
      </c>
      <c r="K99" s="5">
        <f>350</f>
        <v>350</v>
      </c>
      <c r="L99" s="5">
        <f t="shared" si="48"/>
        <v>17.5</v>
      </c>
      <c r="M99" s="6">
        <f t="shared" si="49"/>
        <v>1.05</v>
      </c>
      <c r="N99" s="5">
        <f>367.5</f>
        <v>367.5</v>
      </c>
      <c r="O99" s="5">
        <f>350</f>
        <v>350</v>
      </c>
      <c r="P99" s="5">
        <f t="shared" si="50"/>
        <v>17.5</v>
      </c>
      <c r="Q99" s="6">
        <f t="shared" si="51"/>
        <v>1.05</v>
      </c>
      <c r="R99" s="5">
        <f>367.5</f>
        <v>367.5</v>
      </c>
      <c r="S99" s="5">
        <f>350</f>
        <v>350</v>
      </c>
      <c r="T99" s="5">
        <f t="shared" si="52"/>
        <v>17.5</v>
      </c>
      <c r="U99" s="6">
        <f t="shared" si="53"/>
        <v>1.05</v>
      </c>
      <c r="V99" s="5">
        <f>367.5</f>
        <v>367.5</v>
      </c>
      <c r="W99" s="5">
        <f>350</f>
        <v>350</v>
      </c>
      <c r="X99" s="5">
        <f t="shared" si="54"/>
        <v>17.5</v>
      </c>
      <c r="Y99" s="6">
        <f t="shared" si="55"/>
        <v>1.05</v>
      </c>
      <c r="Z99" s="5">
        <f>376.25</f>
        <v>376.25</v>
      </c>
      <c r="AA99" s="5">
        <f>390</f>
        <v>390</v>
      </c>
      <c r="AB99" s="5">
        <f t="shared" si="56"/>
        <v>-13.75</v>
      </c>
      <c r="AC99" s="6">
        <f t="shared" si="57"/>
        <v>0.96474358974358976</v>
      </c>
      <c r="AD99" s="5">
        <f>388.26</f>
        <v>388.26</v>
      </c>
      <c r="AE99" s="5">
        <f>390</f>
        <v>390</v>
      </c>
      <c r="AF99" s="5">
        <f t="shared" si="58"/>
        <v>-1.7400000000000091</v>
      </c>
      <c r="AG99" s="6">
        <f t="shared" si="59"/>
        <v>0.99553846153846148</v>
      </c>
      <c r="AH99" s="5">
        <f>388.26</f>
        <v>388.26</v>
      </c>
      <c r="AI99" s="5">
        <f>390</f>
        <v>390</v>
      </c>
      <c r="AJ99" s="5">
        <f t="shared" si="60"/>
        <v>-1.7400000000000091</v>
      </c>
      <c r="AK99" s="6">
        <f t="shared" si="61"/>
        <v>0.99553846153846148</v>
      </c>
      <c r="AL99" s="5">
        <f t="shared" si="62"/>
        <v>3331.75</v>
      </c>
      <c r="AM99" s="5">
        <f t="shared" si="63"/>
        <v>3270</v>
      </c>
      <c r="AN99" s="5">
        <f t="shared" si="64"/>
        <v>61.75</v>
      </c>
      <c r="AO99" s="6">
        <f t="shared" si="65"/>
        <v>1.0188837920489298</v>
      </c>
    </row>
    <row r="100" spans="1:41" x14ac:dyDescent="0.25">
      <c r="A100" s="3" t="s">
        <v>107</v>
      </c>
      <c r="B100" s="4"/>
      <c r="C100" s="5">
        <f>200</f>
        <v>200</v>
      </c>
      <c r="D100" s="5">
        <f t="shared" si="44"/>
        <v>-200</v>
      </c>
      <c r="E100" s="6">
        <f t="shared" si="45"/>
        <v>0</v>
      </c>
      <c r="F100" s="5">
        <f>884.05</f>
        <v>884.05</v>
      </c>
      <c r="G100" s="5">
        <f>200</f>
        <v>200</v>
      </c>
      <c r="H100" s="5">
        <f t="shared" si="46"/>
        <v>684.05</v>
      </c>
      <c r="I100" s="6">
        <f t="shared" si="47"/>
        <v>4.4202499999999993</v>
      </c>
      <c r="J100" s="5">
        <f>242.38</f>
        <v>242.38</v>
      </c>
      <c r="K100" s="5">
        <f>200</f>
        <v>200</v>
      </c>
      <c r="L100" s="5">
        <f t="shared" si="48"/>
        <v>42.379999999999995</v>
      </c>
      <c r="M100" s="6">
        <f t="shared" si="49"/>
        <v>1.2119</v>
      </c>
      <c r="N100" s="5">
        <f>150</f>
        <v>150</v>
      </c>
      <c r="O100" s="5">
        <f>200</f>
        <v>200</v>
      </c>
      <c r="P100" s="5">
        <f t="shared" si="50"/>
        <v>-50</v>
      </c>
      <c r="Q100" s="6">
        <f t="shared" si="51"/>
        <v>0.75</v>
      </c>
      <c r="R100" s="5">
        <f>150</f>
        <v>150</v>
      </c>
      <c r="S100" s="5">
        <f>200</f>
        <v>200</v>
      </c>
      <c r="T100" s="5">
        <f t="shared" si="52"/>
        <v>-50</v>
      </c>
      <c r="U100" s="6">
        <f t="shared" si="53"/>
        <v>0.75</v>
      </c>
      <c r="V100" s="4"/>
      <c r="W100" s="5">
        <f>200</f>
        <v>200</v>
      </c>
      <c r="X100" s="5">
        <f t="shared" si="54"/>
        <v>-200</v>
      </c>
      <c r="Y100" s="6">
        <f t="shared" si="55"/>
        <v>0</v>
      </c>
      <c r="Z100" s="4"/>
      <c r="AA100" s="5">
        <f>200</f>
        <v>200</v>
      </c>
      <c r="AB100" s="5">
        <f t="shared" si="56"/>
        <v>-200</v>
      </c>
      <c r="AC100" s="6">
        <f t="shared" si="57"/>
        <v>0</v>
      </c>
      <c r="AD100" s="5">
        <f>139.44</f>
        <v>139.44</v>
      </c>
      <c r="AE100" s="5">
        <f>200</f>
        <v>200</v>
      </c>
      <c r="AF100" s="5">
        <f t="shared" si="58"/>
        <v>-60.56</v>
      </c>
      <c r="AG100" s="6">
        <f t="shared" si="59"/>
        <v>0.69720000000000004</v>
      </c>
      <c r="AH100" s="5">
        <f>-1650</f>
        <v>-1650</v>
      </c>
      <c r="AI100" s="5">
        <f>200</f>
        <v>200</v>
      </c>
      <c r="AJ100" s="5">
        <f t="shared" si="60"/>
        <v>-1850</v>
      </c>
      <c r="AK100" s="6">
        <f t="shared" si="61"/>
        <v>-8.25</v>
      </c>
      <c r="AL100" s="5">
        <f t="shared" si="62"/>
        <v>-84.130000000000109</v>
      </c>
      <c r="AM100" s="5">
        <f t="shared" si="63"/>
        <v>1800</v>
      </c>
      <c r="AN100" s="5">
        <f t="shared" si="64"/>
        <v>-1884.13</v>
      </c>
      <c r="AO100" s="6">
        <f t="shared" si="65"/>
        <v>-4.6738888888888948E-2</v>
      </c>
    </row>
    <row r="101" spans="1:41" x14ac:dyDescent="0.25">
      <c r="A101" s="3" t="s">
        <v>108</v>
      </c>
      <c r="B101" s="5">
        <f>318.9</f>
        <v>318.89999999999998</v>
      </c>
      <c r="C101" s="5">
        <f>320</f>
        <v>320</v>
      </c>
      <c r="D101" s="5">
        <f t="shared" si="44"/>
        <v>-1.1000000000000227</v>
      </c>
      <c r="E101" s="6">
        <f t="shared" si="45"/>
        <v>0.99656249999999991</v>
      </c>
      <c r="F101" s="5">
        <f>160.5</f>
        <v>160.5</v>
      </c>
      <c r="G101" s="5">
        <f>320</f>
        <v>320</v>
      </c>
      <c r="H101" s="5">
        <f t="shared" si="46"/>
        <v>-159.5</v>
      </c>
      <c r="I101" s="6">
        <f t="shared" si="47"/>
        <v>0.50156250000000002</v>
      </c>
      <c r="J101" s="5">
        <f>334.89</f>
        <v>334.89</v>
      </c>
      <c r="K101" s="5">
        <f>320</f>
        <v>320</v>
      </c>
      <c r="L101" s="5">
        <f t="shared" si="48"/>
        <v>14.889999999999986</v>
      </c>
      <c r="M101" s="6">
        <f t="shared" si="49"/>
        <v>1.0465312499999999</v>
      </c>
      <c r="N101" s="5">
        <f>335.22</f>
        <v>335.22</v>
      </c>
      <c r="O101" s="5">
        <f>320</f>
        <v>320</v>
      </c>
      <c r="P101" s="5">
        <f t="shared" si="50"/>
        <v>15.220000000000027</v>
      </c>
      <c r="Q101" s="6">
        <f t="shared" si="51"/>
        <v>1.0475625000000002</v>
      </c>
      <c r="R101" s="5">
        <f>335.22</f>
        <v>335.22</v>
      </c>
      <c r="S101" s="5">
        <f>320</f>
        <v>320</v>
      </c>
      <c r="T101" s="5">
        <f t="shared" si="52"/>
        <v>15.220000000000027</v>
      </c>
      <c r="U101" s="6">
        <f t="shared" si="53"/>
        <v>1.0475625000000002</v>
      </c>
      <c r="V101" s="5">
        <f>337.36</f>
        <v>337.36</v>
      </c>
      <c r="W101" s="5">
        <f>320</f>
        <v>320</v>
      </c>
      <c r="X101" s="5">
        <f t="shared" si="54"/>
        <v>17.360000000000014</v>
      </c>
      <c r="Y101" s="6">
        <f t="shared" si="55"/>
        <v>1.0542500000000001</v>
      </c>
      <c r="Z101" s="5">
        <f>341.36</f>
        <v>341.36</v>
      </c>
      <c r="AA101" s="5">
        <f>320</f>
        <v>320</v>
      </c>
      <c r="AB101" s="5">
        <f t="shared" si="56"/>
        <v>21.360000000000014</v>
      </c>
      <c r="AC101" s="6">
        <f t="shared" si="57"/>
        <v>1.0667500000000001</v>
      </c>
      <c r="AD101" s="5">
        <f>337.59</f>
        <v>337.59</v>
      </c>
      <c r="AE101" s="5">
        <f>320</f>
        <v>320</v>
      </c>
      <c r="AF101" s="5">
        <f t="shared" si="58"/>
        <v>17.589999999999975</v>
      </c>
      <c r="AG101" s="6">
        <f t="shared" si="59"/>
        <v>1.05496875</v>
      </c>
      <c r="AH101" s="5">
        <f>341.59</f>
        <v>341.59</v>
      </c>
      <c r="AI101" s="5">
        <f>320</f>
        <v>320</v>
      </c>
      <c r="AJ101" s="5">
        <f t="shared" si="60"/>
        <v>21.589999999999975</v>
      </c>
      <c r="AK101" s="6">
        <f t="shared" si="61"/>
        <v>1.06746875</v>
      </c>
      <c r="AL101" s="5">
        <f t="shared" si="62"/>
        <v>2842.6300000000006</v>
      </c>
      <c r="AM101" s="5">
        <f t="shared" si="63"/>
        <v>2880</v>
      </c>
      <c r="AN101" s="5">
        <f t="shared" si="64"/>
        <v>-37.369999999999436</v>
      </c>
      <c r="AO101" s="6">
        <f t="shared" si="65"/>
        <v>0.98702430555555576</v>
      </c>
    </row>
    <row r="102" spans="1:41" x14ac:dyDescent="0.25">
      <c r="A102" s="3" t="s">
        <v>109</v>
      </c>
      <c r="B102" s="4"/>
      <c r="C102" s="5">
        <f>0</f>
        <v>0</v>
      </c>
      <c r="D102" s="5">
        <f t="shared" si="44"/>
        <v>0</v>
      </c>
      <c r="E102" s="6" t="str">
        <f t="shared" si="45"/>
        <v/>
      </c>
      <c r="F102" s="4"/>
      <c r="G102" s="5">
        <f>100</f>
        <v>100</v>
      </c>
      <c r="H102" s="5">
        <f t="shared" si="46"/>
        <v>-100</v>
      </c>
      <c r="I102" s="6">
        <f t="shared" si="47"/>
        <v>0</v>
      </c>
      <c r="J102" s="4"/>
      <c r="K102" s="5">
        <f>0</f>
        <v>0</v>
      </c>
      <c r="L102" s="5">
        <f t="shared" si="48"/>
        <v>0</v>
      </c>
      <c r="M102" s="6" t="str">
        <f t="shared" si="49"/>
        <v/>
      </c>
      <c r="N102" s="4"/>
      <c r="O102" s="5">
        <f>0</f>
        <v>0</v>
      </c>
      <c r="P102" s="5">
        <f t="shared" si="50"/>
        <v>0</v>
      </c>
      <c r="Q102" s="6" t="str">
        <f t="shared" si="51"/>
        <v/>
      </c>
      <c r="R102" s="4"/>
      <c r="S102" s="5">
        <f>100</f>
        <v>100</v>
      </c>
      <c r="T102" s="5">
        <f t="shared" si="52"/>
        <v>-100</v>
      </c>
      <c r="U102" s="6">
        <f t="shared" si="53"/>
        <v>0</v>
      </c>
      <c r="V102" s="4"/>
      <c r="W102" s="5">
        <f>0</f>
        <v>0</v>
      </c>
      <c r="X102" s="5">
        <f t="shared" si="54"/>
        <v>0</v>
      </c>
      <c r="Y102" s="6" t="str">
        <f t="shared" si="55"/>
        <v/>
      </c>
      <c r="Z102" s="4"/>
      <c r="AA102" s="5">
        <f>0</f>
        <v>0</v>
      </c>
      <c r="AB102" s="5">
        <f t="shared" si="56"/>
        <v>0</v>
      </c>
      <c r="AC102" s="6" t="str">
        <f t="shared" si="57"/>
        <v/>
      </c>
      <c r="AD102" s="4"/>
      <c r="AE102" s="5">
        <f>0</f>
        <v>0</v>
      </c>
      <c r="AF102" s="5">
        <f t="shared" si="58"/>
        <v>0</v>
      </c>
      <c r="AG102" s="6" t="str">
        <f t="shared" si="59"/>
        <v/>
      </c>
      <c r="AH102" s="4"/>
      <c r="AI102" s="5">
        <f>100</f>
        <v>100</v>
      </c>
      <c r="AJ102" s="5">
        <f t="shared" si="60"/>
        <v>-100</v>
      </c>
      <c r="AK102" s="6">
        <f t="shared" si="61"/>
        <v>0</v>
      </c>
      <c r="AL102" s="5">
        <f t="shared" si="62"/>
        <v>0</v>
      </c>
      <c r="AM102" s="5">
        <f t="shared" si="63"/>
        <v>300</v>
      </c>
      <c r="AN102" s="5">
        <f t="shared" si="64"/>
        <v>-300</v>
      </c>
      <c r="AO102" s="6">
        <f t="shared" si="65"/>
        <v>0</v>
      </c>
    </row>
    <row r="103" spans="1:41" x14ac:dyDescent="0.25">
      <c r="A103" s="3" t="s">
        <v>110</v>
      </c>
      <c r="B103" s="4"/>
      <c r="C103" s="5">
        <f>0</f>
        <v>0</v>
      </c>
      <c r="D103" s="5">
        <f t="shared" si="44"/>
        <v>0</v>
      </c>
      <c r="E103" s="6" t="str">
        <f t="shared" si="45"/>
        <v/>
      </c>
      <c r="F103" s="4"/>
      <c r="G103" s="5">
        <f>0</f>
        <v>0</v>
      </c>
      <c r="H103" s="5">
        <f t="shared" si="46"/>
        <v>0</v>
      </c>
      <c r="I103" s="6" t="str">
        <f t="shared" si="47"/>
        <v/>
      </c>
      <c r="J103" s="4"/>
      <c r="K103" s="5">
        <f>0</f>
        <v>0</v>
      </c>
      <c r="L103" s="5">
        <f t="shared" si="48"/>
        <v>0</v>
      </c>
      <c r="M103" s="6" t="str">
        <f t="shared" si="49"/>
        <v/>
      </c>
      <c r="N103" s="5">
        <f>190</f>
        <v>190</v>
      </c>
      <c r="O103" s="5">
        <f>0</f>
        <v>0</v>
      </c>
      <c r="P103" s="5">
        <f t="shared" si="50"/>
        <v>190</v>
      </c>
      <c r="Q103" s="6" t="str">
        <f t="shared" si="51"/>
        <v/>
      </c>
      <c r="R103" s="5">
        <f>125.88</f>
        <v>125.88</v>
      </c>
      <c r="S103" s="5">
        <f>0</f>
        <v>0</v>
      </c>
      <c r="T103" s="5">
        <f t="shared" si="52"/>
        <v>125.88</v>
      </c>
      <c r="U103" s="6" t="str">
        <f t="shared" si="53"/>
        <v/>
      </c>
      <c r="V103" s="4"/>
      <c r="W103" s="5">
        <f>0</f>
        <v>0</v>
      </c>
      <c r="X103" s="5">
        <f t="shared" si="54"/>
        <v>0</v>
      </c>
      <c r="Y103" s="6" t="str">
        <f t="shared" si="55"/>
        <v/>
      </c>
      <c r="Z103" s="4"/>
      <c r="AA103" s="5">
        <f>500</f>
        <v>500</v>
      </c>
      <c r="AB103" s="5">
        <f t="shared" si="56"/>
        <v>-500</v>
      </c>
      <c r="AC103" s="6">
        <f t="shared" si="57"/>
        <v>0</v>
      </c>
      <c r="AD103" s="4"/>
      <c r="AE103" s="5">
        <f>0</f>
        <v>0</v>
      </c>
      <c r="AF103" s="5">
        <f t="shared" si="58"/>
        <v>0</v>
      </c>
      <c r="AG103" s="6" t="str">
        <f t="shared" si="59"/>
        <v/>
      </c>
      <c r="AH103" s="4"/>
      <c r="AI103" s="5">
        <f>0</f>
        <v>0</v>
      </c>
      <c r="AJ103" s="5">
        <f t="shared" si="60"/>
        <v>0</v>
      </c>
      <c r="AK103" s="6" t="str">
        <f t="shared" si="61"/>
        <v/>
      </c>
      <c r="AL103" s="5">
        <f t="shared" si="62"/>
        <v>315.88</v>
      </c>
      <c r="AM103" s="5">
        <f t="shared" si="63"/>
        <v>500</v>
      </c>
      <c r="AN103" s="5">
        <f t="shared" si="64"/>
        <v>-184.12</v>
      </c>
      <c r="AO103" s="6">
        <f t="shared" si="65"/>
        <v>0.63175999999999999</v>
      </c>
    </row>
    <row r="104" spans="1:41" x14ac:dyDescent="0.25">
      <c r="A104" s="3" t="s">
        <v>111</v>
      </c>
      <c r="B104" s="7">
        <f>(((((B98)+(B99))+(B100))+(B101))+(B102))+(B103)</f>
        <v>660.38</v>
      </c>
      <c r="C104" s="7">
        <f>(((((C98)+(C99))+(C100))+(C101))+(C102))+(C103)</f>
        <v>870</v>
      </c>
      <c r="D104" s="7">
        <f t="shared" si="44"/>
        <v>-209.62</v>
      </c>
      <c r="E104" s="8">
        <f t="shared" si="45"/>
        <v>0.75905747126436784</v>
      </c>
      <c r="F104" s="7">
        <f>(((((F98)+(F99))+(F100))+(F101))+(F102))+(F103)</f>
        <v>1412.05</v>
      </c>
      <c r="G104" s="7">
        <f>(((((G98)+(G99))+(G100))+(G101))+(G102))+(G103)</f>
        <v>970</v>
      </c>
      <c r="H104" s="7">
        <f t="shared" si="46"/>
        <v>442.04999999999995</v>
      </c>
      <c r="I104" s="8">
        <f t="shared" si="47"/>
        <v>1.455721649484536</v>
      </c>
      <c r="J104" s="7">
        <f>(((((J98)+(J99))+(J100))+(J101))+(J102))+(J103)</f>
        <v>944.77</v>
      </c>
      <c r="K104" s="7">
        <f>(((((K98)+(K99))+(K100))+(K101))+(K102))+(K103)</f>
        <v>870</v>
      </c>
      <c r="L104" s="7">
        <f t="shared" si="48"/>
        <v>74.769999999999982</v>
      </c>
      <c r="M104" s="8">
        <f t="shared" si="49"/>
        <v>1.0859425287356321</v>
      </c>
      <c r="N104" s="7">
        <f>(((((N98)+(N99))+(N100))+(N101))+(N102))+(N103)</f>
        <v>1042.72</v>
      </c>
      <c r="O104" s="7">
        <f>(((((O98)+(O99))+(O100))+(O101))+(O102))+(O103)</f>
        <v>870</v>
      </c>
      <c r="P104" s="7">
        <f t="shared" si="50"/>
        <v>172.72000000000003</v>
      </c>
      <c r="Q104" s="8">
        <f t="shared" si="51"/>
        <v>1.1985287356321839</v>
      </c>
      <c r="R104" s="7">
        <f>(((((R98)+(R99))+(R100))+(R101))+(R102))+(R103)</f>
        <v>978.6</v>
      </c>
      <c r="S104" s="7">
        <f>(((((S98)+(S99))+(S100))+(S101))+(S102))+(S103)</f>
        <v>970</v>
      </c>
      <c r="T104" s="7">
        <f t="shared" si="52"/>
        <v>8.6000000000000227</v>
      </c>
      <c r="U104" s="8">
        <f t="shared" si="53"/>
        <v>1.0088659793814434</v>
      </c>
      <c r="V104" s="7">
        <f>(((((V98)+(V99))+(V100))+(V101))+(V102))+(V103)</f>
        <v>704.86</v>
      </c>
      <c r="W104" s="7">
        <f>(((((W98)+(W99))+(W100))+(W101))+(W102))+(W103)</f>
        <v>870</v>
      </c>
      <c r="X104" s="7">
        <f t="shared" si="54"/>
        <v>-165.14</v>
      </c>
      <c r="Y104" s="8">
        <f t="shared" si="55"/>
        <v>0.81018390804597706</v>
      </c>
      <c r="Z104" s="7">
        <f>(((((Z98)+(Z99))+(Z100))+(Z101))+(Z102))+(Z103)</f>
        <v>717.61</v>
      </c>
      <c r="AA104" s="7">
        <f>(((((AA98)+(AA99))+(AA100))+(AA101))+(AA102))+(AA103)</f>
        <v>1410</v>
      </c>
      <c r="AB104" s="7">
        <f t="shared" si="56"/>
        <v>-692.39</v>
      </c>
      <c r="AC104" s="8">
        <f t="shared" si="57"/>
        <v>0.50894326241134757</v>
      </c>
      <c r="AD104" s="7">
        <f>(((((AD98)+(AD99))+(AD100))+(AD101))+(AD102))+(AD103)</f>
        <v>865.29</v>
      </c>
      <c r="AE104" s="7">
        <f>(((((AE98)+(AE99))+(AE100))+(AE101))+(AE102))+(AE103)</f>
        <v>910</v>
      </c>
      <c r="AF104" s="7">
        <f t="shared" si="58"/>
        <v>-44.710000000000036</v>
      </c>
      <c r="AG104" s="8">
        <f t="shared" si="59"/>
        <v>0.95086813186813179</v>
      </c>
      <c r="AH104" s="7">
        <f>(((((AH98)+(AH99))+(AH100))+(AH101))+(AH102))+(AH103)</f>
        <v>-920.15000000000009</v>
      </c>
      <c r="AI104" s="7">
        <f>(((((AI98)+(AI99))+(AI100))+(AI101))+(AI102))+(AI103)</f>
        <v>1010</v>
      </c>
      <c r="AJ104" s="7">
        <f t="shared" si="60"/>
        <v>-1930.15</v>
      </c>
      <c r="AK104" s="8">
        <f t="shared" si="61"/>
        <v>-0.91103960396039618</v>
      </c>
      <c r="AL104" s="7">
        <f t="shared" si="62"/>
        <v>6406.1299999999992</v>
      </c>
      <c r="AM104" s="7">
        <f t="shared" si="63"/>
        <v>8750</v>
      </c>
      <c r="AN104" s="7">
        <f t="shared" si="64"/>
        <v>-2343.8700000000008</v>
      </c>
      <c r="AO104" s="8">
        <f t="shared" si="65"/>
        <v>0.73212914285714281</v>
      </c>
    </row>
    <row r="105" spans="1:41" x14ac:dyDescent="0.25">
      <c r="A105" s="3" t="s">
        <v>112</v>
      </c>
      <c r="B105" s="4"/>
      <c r="C105" s="4"/>
      <c r="D105" s="5">
        <f t="shared" si="44"/>
        <v>0</v>
      </c>
      <c r="E105" s="6" t="str">
        <f t="shared" si="45"/>
        <v/>
      </c>
      <c r="F105" s="4"/>
      <c r="G105" s="4"/>
      <c r="H105" s="5">
        <f t="shared" si="46"/>
        <v>0</v>
      </c>
      <c r="I105" s="6" t="str">
        <f t="shared" si="47"/>
        <v/>
      </c>
      <c r="J105" s="4"/>
      <c r="K105" s="4"/>
      <c r="L105" s="5">
        <f t="shared" si="48"/>
        <v>0</v>
      </c>
      <c r="M105" s="6" t="str">
        <f t="shared" si="49"/>
        <v/>
      </c>
      <c r="N105" s="4"/>
      <c r="O105" s="4"/>
      <c r="P105" s="5">
        <f t="shared" si="50"/>
        <v>0</v>
      </c>
      <c r="Q105" s="6" t="str">
        <f t="shared" si="51"/>
        <v/>
      </c>
      <c r="R105" s="4"/>
      <c r="S105" s="4"/>
      <c r="T105" s="5">
        <f t="shared" si="52"/>
        <v>0</v>
      </c>
      <c r="U105" s="6" t="str">
        <f t="shared" si="53"/>
        <v/>
      </c>
      <c r="V105" s="4"/>
      <c r="W105" s="4"/>
      <c r="X105" s="5">
        <f t="shared" si="54"/>
        <v>0</v>
      </c>
      <c r="Y105" s="6" t="str">
        <f t="shared" si="55"/>
        <v/>
      </c>
      <c r="Z105" s="4"/>
      <c r="AA105" s="4"/>
      <c r="AB105" s="5">
        <f t="shared" si="56"/>
        <v>0</v>
      </c>
      <c r="AC105" s="6" t="str">
        <f t="shared" si="57"/>
        <v/>
      </c>
      <c r="AD105" s="4"/>
      <c r="AE105" s="4"/>
      <c r="AF105" s="5">
        <f t="shared" si="58"/>
        <v>0</v>
      </c>
      <c r="AG105" s="6" t="str">
        <f t="shared" si="59"/>
        <v/>
      </c>
      <c r="AH105" s="4"/>
      <c r="AI105" s="4"/>
      <c r="AJ105" s="5">
        <f t="shared" si="60"/>
        <v>0</v>
      </c>
      <c r="AK105" s="6" t="str">
        <f t="shared" si="61"/>
        <v/>
      </c>
      <c r="AL105" s="5">
        <f t="shared" si="62"/>
        <v>0</v>
      </c>
      <c r="AM105" s="5">
        <f t="shared" si="63"/>
        <v>0</v>
      </c>
      <c r="AN105" s="5">
        <f t="shared" si="64"/>
        <v>0</v>
      </c>
      <c r="AO105" s="6" t="str">
        <f t="shared" si="65"/>
        <v/>
      </c>
    </row>
    <row r="106" spans="1:41" x14ac:dyDescent="0.25">
      <c r="A106" s="3" t="s">
        <v>113</v>
      </c>
      <c r="B106" s="4"/>
      <c r="C106" s="5">
        <f>0</f>
        <v>0</v>
      </c>
      <c r="D106" s="5">
        <f t="shared" si="44"/>
        <v>0</v>
      </c>
      <c r="E106" s="6" t="str">
        <f t="shared" si="45"/>
        <v/>
      </c>
      <c r="F106" s="4"/>
      <c r="G106" s="5">
        <f>0</f>
        <v>0</v>
      </c>
      <c r="H106" s="5">
        <f t="shared" si="46"/>
        <v>0</v>
      </c>
      <c r="I106" s="6" t="str">
        <f t="shared" si="47"/>
        <v/>
      </c>
      <c r="J106" s="4"/>
      <c r="K106" s="5">
        <f>0</f>
        <v>0</v>
      </c>
      <c r="L106" s="5">
        <f t="shared" si="48"/>
        <v>0</v>
      </c>
      <c r="M106" s="6" t="str">
        <f t="shared" si="49"/>
        <v/>
      </c>
      <c r="N106" s="4"/>
      <c r="O106" s="5">
        <f>500</f>
        <v>500</v>
      </c>
      <c r="P106" s="5">
        <f t="shared" si="50"/>
        <v>-500</v>
      </c>
      <c r="Q106" s="6">
        <f t="shared" si="51"/>
        <v>0</v>
      </c>
      <c r="R106" s="4"/>
      <c r="S106" s="5">
        <f>0</f>
        <v>0</v>
      </c>
      <c r="T106" s="5">
        <f t="shared" si="52"/>
        <v>0</v>
      </c>
      <c r="U106" s="6" t="str">
        <f t="shared" si="53"/>
        <v/>
      </c>
      <c r="V106" s="4"/>
      <c r="W106" s="5">
        <f>0</f>
        <v>0</v>
      </c>
      <c r="X106" s="5">
        <f t="shared" si="54"/>
        <v>0</v>
      </c>
      <c r="Y106" s="6" t="str">
        <f t="shared" si="55"/>
        <v/>
      </c>
      <c r="Z106" s="4"/>
      <c r="AA106" s="5">
        <f>0</f>
        <v>0</v>
      </c>
      <c r="AB106" s="5">
        <f t="shared" si="56"/>
        <v>0</v>
      </c>
      <c r="AC106" s="6" t="str">
        <f t="shared" si="57"/>
        <v/>
      </c>
      <c r="AD106" s="4"/>
      <c r="AE106" s="5">
        <f>0</f>
        <v>0</v>
      </c>
      <c r="AF106" s="5">
        <f t="shared" si="58"/>
        <v>0</v>
      </c>
      <c r="AG106" s="6" t="str">
        <f t="shared" si="59"/>
        <v/>
      </c>
      <c r="AH106" s="4"/>
      <c r="AI106" s="5">
        <f>0</f>
        <v>0</v>
      </c>
      <c r="AJ106" s="5">
        <f t="shared" si="60"/>
        <v>0</v>
      </c>
      <c r="AK106" s="6" t="str">
        <f t="shared" si="61"/>
        <v/>
      </c>
      <c r="AL106" s="5">
        <f t="shared" si="62"/>
        <v>0</v>
      </c>
      <c r="AM106" s="5">
        <f t="shared" si="63"/>
        <v>500</v>
      </c>
      <c r="AN106" s="5">
        <f t="shared" si="64"/>
        <v>-500</v>
      </c>
      <c r="AO106" s="6">
        <f t="shared" si="65"/>
        <v>0</v>
      </c>
    </row>
    <row r="107" spans="1:41" x14ac:dyDescent="0.25">
      <c r="A107" s="3" t="s">
        <v>114</v>
      </c>
      <c r="B107" s="7">
        <f>(B105)+(B106)</f>
        <v>0</v>
      </c>
      <c r="C107" s="7">
        <f>(C105)+(C106)</f>
        <v>0</v>
      </c>
      <c r="D107" s="7">
        <f t="shared" si="44"/>
        <v>0</v>
      </c>
      <c r="E107" s="8" t="str">
        <f t="shared" si="45"/>
        <v/>
      </c>
      <c r="F107" s="7">
        <f>(F105)+(F106)</f>
        <v>0</v>
      </c>
      <c r="G107" s="7">
        <f>(G105)+(G106)</f>
        <v>0</v>
      </c>
      <c r="H107" s="7">
        <f t="shared" si="46"/>
        <v>0</v>
      </c>
      <c r="I107" s="8" t="str">
        <f t="shared" si="47"/>
        <v/>
      </c>
      <c r="J107" s="7">
        <f>(J105)+(J106)</f>
        <v>0</v>
      </c>
      <c r="K107" s="7">
        <f>(K105)+(K106)</f>
        <v>0</v>
      </c>
      <c r="L107" s="7">
        <f t="shared" si="48"/>
        <v>0</v>
      </c>
      <c r="M107" s="8" t="str">
        <f t="shared" si="49"/>
        <v/>
      </c>
      <c r="N107" s="7">
        <f>(N105)+(N106)</f>
        <v>0</v>
      </c>
      <c r="O107" s="7">
        <f>(O105)+(O106)</f>
        <v>500</v>
      </c>
      <c r="P107" s="7">
        <f t="shared" si="50"/>
        <v>-500</v>
      </c>
      <c r="Q107" s="8">
        <f t="shared" si="51"/>
        <v>0</v>
      </c>
      <c r="R107" s="7">
        <f>(R105)+(R106)</f>
        <v>0</v>
      </c>
      <c r="S107" s="7">
        <f>(S105)+(S106)</f>
        <v>0</v>
      </c>
      <c r="T107" s="7">
        <f t="shared" si="52"/>
        <v>0</v>
      </c>
      <c r="U107" s="8" t="str">
        <f t="shared" si="53"/>
        <v/>
      </c>
      <c r="V107" s="7">
        <f>(V105)+(V106)</f>
        <v>0</v>
      </c>
      <c r="W107" s="7">
        <f>(W105)+(W106)</f>
        <v>0</v>
      </c>
      <c r="X107" s="7">
        <f t="shared" si="54"/>
        <v>0</v>
      </c>
      <c r="Y107" s="8" t="str">
        <f t="shared" si="55"/>
        <v/>
      </c>
      <c r="Z107" s="7">
        <f>(Z105)+(Z106)</f>
        <v>0</v>
      </c>
      <c r="AA107" s="7">
        <f>(AA105)+(AA106)</f>
        <v>0</v>
      </c>
      <c r="AB107" s="7">
        <f t="shared" si="56"/>
        <v>0</v>
      </c>
      <c r="AC107" s="8" t="str">
        <f t="shared" si="57"/>
        <v/>
      </c>
      <c r="AD107" s="7">
        <f>(AD105)+(AD106)</f>
        <v>0</v>
      </c>
      <c r="AE107" s="7">
        <f>(AE105)+(AE106)</f>
        <v>0</v>
      </c>
      <c r="AF107" s="7">
        <f t="shared" si="58"/>
        <v>0</v>
      </c>
      <c r="AG107" s="8" t="str">
        <f t="shared" si="59"/>
        <v/>
      </c>
      <c r="AH107" s="7">
        <f>(AH105)+(AH106)</f>
        <v>0</v>
      </c>
      <c r="AI107" s="7">
        <f>(AI105)+(AI106)</f>
        <v>0</v>
      </c>
      <c r="AJ107" s="7">
        <f t="shared" si="60"/>
        <v>0</v>
      </c>
      <c r="AK107" s="8" t="str">
        <f t="shared" si="61"/>
        <v/>
      </c>
      <c r="AL107" s="7">
        <f t="shared" si="62"/>
        <v>0</v>
      </c>
      <c r="AM107" s="7">
        <f t="shared" si="63"/>
        <v>500</v>
      </c>
      <c r="AN107" s="7">
        <f t="shared" si="64"/>
        <v>-500</v>
      </c>
      <c r="AO107" s="8">
        <f t="shared" si="65"/>
        <v>0</v>
      </c>
    </row>
    <row r="108" spans="1:41" x14ac:dyDescent="0.25">
      <c r="A108" s="3" t="s">
        <v>115</v>
      </c>
      <c r="B108" s="4"/>
      <c r="C108" s="4"/>
      <c r="D108" s="5">
        <f t="shared" si="44"/>
        <v>0</v>
      </c>
      <c r="E108" s="6" t="str">
        <f t="shared" si="45"/>
        <v/>
      </c>
      <c r="F108" s="4"/>
      <c r="G108" s="4"/>
      <c r="H108" s="5">
        <f t="shared" si="46"/>
        <v>0</v>
      </c>
      <c r="I108" s="6" t="str">
        <f t="shared" si="47"/>
        <v/>
      </c>
      <c r="J108" s="4"/>
      <c r="K108" s="4"/>
      <c r="L108" s="5">
        <f t="shared" si="48"/>
        <v>0</v>
      </c>
      <c r="M108" s="6" t="str">
        <f t="shared" si="49"/>
        <v/>
      </c>
      <c r="N108" s="4"/>
      <c r="O108" s="4"/>
      <c r="P108" s="5">
        <f t="shared" si="50"/>
        <v>0</v>
      </c>
      <c r="Q108" s="6" t="str">
        <f t="shared" si="51"/>
        <v/>
      </c>
      <c r="R108" s="4"/>
      <c r="S108" s="4"/>
      <c r="T108" s="5">
        <f t="shared" si="52"/>
        <v>0</v>
      </c>
      <c r="U108" s="6" t="str">
        <f t="shared" si="53"/>
        <v/>
      </c>
      <c r="V108" s="4"/>
      <c r="W108" s="4"/>
      <c r="X108" s="5">
        <f t="shared" si="54"/>
        <v>0</v>
      </c>
      <c r="Y108" s="6" t="str">
        <f t="shared" si="55"/>
        <v/>
      </c>
      <c r="Z108" s="4"/>
      <c r="AA108" s="4"/>
      <c r="AB108" s="5">
        <f t="shared" si="56"/>
        <v>0</v>
      </c>
      <c r="AC108" s="6" t="str">
        <f t="shared" si="57"/>
        <v/>
      </c>
      <c r="AD108" s="4"/>
      <c r="AE108" s="4"/>
      <c r="AF108" s="5">
        <f t="shared" si="58"/>
        <v>0</v>
      </c>
      <c r="AG108" s="6" t="str">
        <f t="shared" si="59"/>
        <v/>
      </c>
      <c r="AH108" s="4"/>
      <c r="AI108" s="4"/>
      <c r="AJ108" s="5">
        <f t="shared" si="60"/>
        <v>0</v>
      </c>
      <c r="AK108" s="6" t="str">
        <f t="shared" si="61"/>
        <v/>
      </c>
      <c r="AL108" s="5">
        <f t="shared" si="62"/>
        <v>0</v>
      </c>
      <c r="AM108" s="5">
        <f t="shared" si="63"/>
        <v>0</v>
      </c>
      <c r="AN108" s="5">
        <f t="shared" si="64"/>
        <v>0</v>
      </c>
      <c r="AO108" s="6" t="str">
        <f t="shared" si="65"/>
        <v/>
      </c>
    </row>
    <row r="109" spans="1:41" x14ac:dyDescent="0.25">
      <c r="A109" s="3" t="s">
        <v>116</v>
      </c>
      <c r="B109" s="4"/>
      <c r="C109" s="5">
        <f>100</f>
        <v>100</v>
      </c>
      <c r="D109" s="5">
        <f t="shared" si="44"/>
        <v>-100</v>
      </c>
      <c r="E109" s="6">
        <f t="shared" si="45"/>
        <v>0</v>
      </c>
      <c r="F109" s="4"/>
      <c r="G109" s="5">
        <f>100</f>
        <v>100</v>
      </c>
      <c r="H109" s="5">
        <f t="shared" si="46"/>
        <v>-100</v>
      </c>
      <c r="I109" s="6">
        <f t="shared" si="47"/>
        <v>0</v>
      </c>
      <c r="J109" s="4"/>
      <c r="K109" s="5">
        <f>100</f>
        <v>100</v>
      </c>
      <c r="L109" s="5">
        <f t="shared" si="48"/>
        <v>-100</v>
      </c>
      <c r="M109" s="6">
        <f t="shared" si="49"/>
        <v>0</v>
      </c>
      <c r="N109" s="4"/>
      <c r="O109" s="5">
        <f>100</f>
        <v>100</v>
      </c>
      <c r="P109" s="5">
        <f t="shared" si="50"/>
        <v>-100</v>
      </c>
      <c r="Q109" s="6">
        <f t="shared" si="51"/>
        <v>0</v>
      </c>
      <c r="R109" s="4"/>
      <c r="S109" s="5">
        <f>100</f>
        <v>100</v>
      </c>
      <c r="T109" s="5">
        <f t="shared" si="52"/>
        <v>-100</v>
      </c>
      <c r="U109" s="6">
        <f t="shared" si="53"/>
        <v>0</v>
      </c>
      <c r="V109" s="4"/>
      <c r="W109" s="5">
        <f>100</f>
        <v>100</v>
      </c>
      <c r="X109" s="5">
        <f t="shared" si="54"/>
        <v>-100</v>
      </c>
      <c r="Y109" s="6">
        <f t="shared" si="55"/>
        <v>0</v>
      </c>
      <c r="Z109" s="4"/>
      <c r="AA109" s="5">
        <f>100</f>
        <v>100</v>
      </c>
      <c r="AB109" s="5">
        <f t="shared" si="56"/>
        <v>-100</v>
      </c>
      <c r="AC109" s="6">
        <f t="shared" si="57"/>
        <v>0</v>
      </c>
      <c r="AD109" s="4"/>
      <c r="AE109" s="5">
        <f>100</f>
        <v>100</v>
      </c>
      <c r="AF109" s="5">
        <f t="shared" si="58"/>
        <v>-100</v>
      </c>
      <c r="AG109" s="6">
        <f t="shared" si="59"/>
        <v>0</v>
      </c>
      <c r="AH109" s="4"/>
      <c r="AI109" s="5">
        <f>100</f>
        <v>100</v>
      </c>
      <c r="AJ109" s="5">
        <f t="shared" si="60"/>
        <v>-100</v>
      </c>
      <c r="AK109" s="6">
        <f t="shared" si="61"/>
        <v>0</v>
      </c>
      <c r="AL109" s="5">
        <f t="shared" si="62"/>
        <v>0</v>
      </c>
      <c r="AM109" s="5">
        <f t="shared" si="63"/>
        <v>900</v>
      </c>
      <c r="AN109" s="5">
        <f t="shared" si="64"/>
        <v>-900</v>
      </c>
      <c r="AO109" s="6">
        <f t="shared" si="65"/>
        <v>0</v>
      </c>
    </row>
    <row r="110" spans="1:41" x14ac:dyDescent="0.25">
      <c r="A110" s="3" t="s">
        <v>117</v>
      </c>
      <c r="B110" s="5">
        <f>185</f>
        <v>185</v>
      </c>
      <c r="C110" s="5">
        <f>291</f>
        <v>291</v>
      </c>
      <c r="D110" s="5">
        <f t="shared" si="44"/>
        <v>-106</v>
      </c>
      <c r="E110" s="6">
        <f t="shared" si="45"/>
        <v>0.63573883161512024</v>
      </c>
      <c r="F110" s="4"/>
      <c r="G110" s="5">
        <f>291</f>
        <v>291</v>
      </c>
      <c r="H110" s="5">
        <f t="shared" si="46"/>
        <v>-291</v>
      </c>
      <c r="I110" s="6">
        <f t="shared" si="47"/>
        <v>0</v>
      </c>
      <c r="J110" s="5">
        <f>185</f>
        <v>185</v>
      </c>
      <c r="K110" s="5">
        <f>291</f>
        <v>291</v>
      </c>
      <c r="L110" s="5">
        <f t="shared" si="48"/>
        <v>-106</v>
      </c>
      <c r="M110" s="6">
        <f t="shared" si="49"/>
        <v>0.63573883161512024</v>
      </c>
      <c r="N110" s="4"/>
      <c r="O110" s="5">
        <f>299</f>
        <v>299</v>
      </c>
      <c r="P110" s="5">
        <f t="shared" si="50"/>
        <v>-299</v>
      </c>
      <c r="Q110" s="6">
        <f t="shared" si="51"/>
        <v>0</v>
      </c>
      <c r="R110" s="5">
        <f>185</f>
        <v>185</v>
      </c>
      <c r="S110" s="5">
        <f>291</f>
        <v>291</v>
      </c>
      <c r="T110" s="5">
        <f t="shared" si="52"/>
        <v>-106</v>
      </c>
      <c r="U110" s="6">
        <f t="shared" si="53"/>
        <v>0.63573883161512024</v>
      </c>
      <c r="V110" s="4"/>
      <c r="W110" s="5">
        <f>291</f>
        <v>291</v>
      </c>
      <c r="X110" s="5">
        <f t="shared" si="54"/>
        <v>-291</v>
      </c>
      <c r="Y110" s="6">
        <f t="shared" si="55"/>
        <v>0</v>
      </c>
      <c r="Z110" s="4"/>
      <c r="AA110" s="5">
        <f>291</f>
        <v>291</v>
      </c>
      <c r="AB110" s="5">
        <f t="shared" si="56"/>
        <v>-291</v>
      </c>
      <c r="AC110" s="6">
        <f t="shared" si="57"/>
        <v>0</v>
      </c>
      <c r="AD110" s="5">
        <f>410</f>
        <v>410</v>
      </c>
      <c r="AE110" s="5">
        <f>291</f>
        <v>291</v>
      </c>
      <c r="AF110" s="5">
        <f t="shared" si="58"/>
        <v>119</v>
      </c>
      <c r="AG110" s="6">
        <f t="shared" si="59"/>
        <v>1.4089347079037802</v>
      </c>
      <c r="AH110" s="5">
        <f>768</f>
        <v>768</v>
      </c>
      <c r="AI110" s="5">
        <f>291</f>
        <v>291</v>
      </c>
      <c r="AJ110" s="5">
        <f t="shared" si="60"/>
        <v>477</v>
      </c>
      <c r="AK110" s="6">
        <f t="shared" si="61"/>
        <v>2.6391752577319587</v>
      </c>
      <c r="AL110" s="5">
        <f t="shared" si="62"/>
        <v>1733</v>
      </c>
      <c r="AM110" s="5">
        <f t="shared" si="63"/>
        <v>2627</v>
      </c>
      <c r="AN110" s="5">
        <f t="shared" si="64"/>
        <v>-894</v>
      </c>
      <c r="AO110" s="6">
        <f t="shared" si="65"/>
        <v>0.65968785687095544</v>
      </c>
    </row>
    <row r="111" spans="1:41" x14ac:dyDescent="0.25">
      <c r="A111" s="3" t="s">
        <v>118</v>
      </c>
      <c r="B111" s="4"/>
      <c r="C111" s="5">
        <f>0</f>
        <v>0</v>
      </c>
      <c r="D111" s="5">
        <f t="shared" si="44"/>
        <v>0</v>
      </c>
      <c r="E111" s="6" t="str">
        <f t="shared" si="45"/>
        <v/>
      </c>
      <c r="F111" s="4"/>
      <c r="G111" s="5">
        <f>0</f>
        <v>0</v>
      </c>
      <c r="H111" s="5">
        <f t="shared" si="46"/>
        <v>0</v>
      </c>
      <c r="I111" s="6" t="str">
        <f t="shared" si="47"/>
        <v/>
      </c>
      <c r="J111" s="4"/>
      <c r="K111" s="5">
        <f>0</f>
        <v>0</v>
      </c>
      <c r="L111" s="5">
        <f t="shared" si="48"/>
        <v>0</v>
      </c>
      <c r="M111" s="6" t="str">
        <f t="shared" si="49"/>
        <v/>
      </c>
      <c r="N111" s="4"/>
      <c r="O111" s="5">
        <f>0</f>
        <v>0</v>
      </c>
      <c r="P111" s="5">
        <f t="shared" si="50"/>
        <v>0</v>
      </c>
      <c r="Q111" s="6" t="str">
        <f t="shared" si="51"/>
        <v/>
      </c>
      <c r="R111" s="4"/>
      <c r="S111" s="5">
        <f>0</f>
        <v>0</v>
      </c>
      <c r="T111" s="5">
        <f t="shared" si="52"/>
        <v>0</v>
      </c>
      <c r="U111" s="6" t="str">
        <f t="shared" si="53"/>
        <v/>
      </c>
      <c r="V111" s="4"/>
      <c r="W111" s="5">
        <f>0</f>
        <v>0</v>
      </c>
      <c r="X111" s="5">
        <f t="shared" si="54"/>
        <v>0</v>
      </c>
      <c r="Y111" s="6" t="str">
        <f t="shared" si="55"/>
        <v/>
      </c>
      <c r="Z111" s="5">
        <f>1940</f>
        <v>1940</v>
      </c>
      <c r="AA111" s="5">
        <f>0</f>
        <v>0</v>
      </c>
      <c r="AB111" s="5">
        <f t="shared" si="56"/>
        <v>1940</v>
      </c>
      <c r="AC111" s="6" t="str">
        <f t="shared" si="57"/>
        <v/>
      </c>
      <c r="AD111" s="4"/>
      <c r="AE111" s="5">
        <f>0</f>
        <v>0</v>
      </c>
      <c r="AF111" s="5">
        <f t="shared" si="58"/>
        <v>0</v>
      </c>
      <c r="AG111" s="6" t="str">
        <f t="shared" si="59"/>
        <v/>
      </c>
      <c r="AH111" s="4"/>
      <c r="AI111" s="5">
        <f>1500</f>
        <v>1500</v>
      </c>
      <c r="AJ111" s="5">
        <f t="shared" si="60"/>
        <v>-1500</v>
      </c>
      <c r="AK111" s="6">
        <f t="shared" si="61"/>
        <v>0</v>
      </c>
      <c r="AL111" s="5">
        <f t="shared" si="62"/>
        <v>1940</v>
      </c>
      <c r="AM111" s="5">
        <f t="shared" si="63"/>
        <v>1500</v>
      </c>
      <c r="AN111" s="5">
        <f t="shared" si="64"/>
        <v>440</v>
      </c>
      <c r="AO111" s="6">
        <f t="shared" si="65"/>
        <v>1.2933333333333332</v>
      </c>
    </row>
    <row r="112" spans="1:41" x14ac:dyDescent="0.25">
      <c r="A112" s="3" t="s">
        <v>119</v>
      </c>
      <c r="B112" s="5">
        <f>400</f>
        <v>400</v>
      </c>
      <c r="C112" s="5">
        <f>180</f>
        <v>180</v>
      </c>
      <c r="D112" s="5">
        <f t="shared" si="44"/>
        <v>220</v>
      </c>
      <c r="E112" s="6">
        <f t="shared" si="45"/>
        <v>2.2222222222222223</v>
      </c>
      <c r="F112" s="5">
        <f>180</f>
        <v>180</v>
      </c>
      <c r="G112" s="5">
        <f>180</f>
        <v>180</v>
      </c>
      <c r="H112" s="5">
        <f t="shared" si="46"/>
        <v>0</v>
      </c>
      <c r="I112" s="6">
        <f t="shared" si="47"/>
        <v>1</v>
      </c>
      <c r="J112" s="5">
        <f>180</f>
        <v>180</v>
      </c>
      <c r="K112" s="5">
        <f>180</f>
        <v>180</v>
      </c>
      <c r="L112" s="5">
        <f t="shared" si="48"/>
        <v>0</v>
      </c>
      <c r="M112" s="6">
        <f t="shared" si="49"/>
        <v>1</v>
      </c>
      <c r="N112" s="4"/>
      <c r="O112" s="5">
        <f>180</f>
        <v>180</v>
      </c>
      <c r="P112" s="5">
        <f t="shared" si="50"/>
        <v>-180</v>
      </c>
      <c r="Q112" s="6">
        <f t="shared" si="51"/>
        <v>0</v>
      </c>
      <c r="R112" s="4"/>
      <c r="S112" s="5">
        <f>180</f>
        <v>180</v>
      </c>
      <c r="T112" s="5">
        <f t="shared" si="52"/>
        <v>-180</v>
      </c>
      <c r="U112" s="6">
        <f t="shared" si="53"/>
        <v>0</v>
      </c>
      <c r="V112" s="4"/>
      <c r="W112" s="5">
        <f>180</f>
        <v>180</v>
      </c>
      <c r="X112" s="5">
        <f t="shared" si="54"/>
        <v>-180</v>
      </c>
      <c r="Y112" s="6">
        <f t="shared" si="55"/>
        <v>0</v>
      </c>
      <c r="Z112" s="4"/>
      <c r="AA112" s="5">
        <f>180</f>
        <v>180</v>
      </c>
      <c r="AB112" s="5">
        <f t="shared" si="56"/>
        <v>-180</v>
      </c>
      <c r="AC112" s="6">
        <f t="shared" si="57"/>
        <v>0</v>
      </c>
      <c r="AD112" s="4"/>
      <c r="AE112" s="5">
        <f>180</f>
        <v>180</v>
      </c>
      <c r="AF112" s="5">
        <f t="shared" si="58"/>
        <v>-180</v>
      </c>
      <c r="AG112" s="6">
        <f t="shared" si="59"/>
        <v>0</v>
      </c>
      <c r="AH112" s="4"/>
      <c r="AI112" s="5">
        <f>180</f>
        <v>180</v>
      </c>
      <c r="AJ112" s="5">
        <f t="shared" si="60"/>
        <v>-180</v>
      </c>
      <c r="AK112" s="6">
        <f t="shared" si="61"/>
        <v>0</v>
      </c>
      <c r="AL112" s="5">
        <f t="shared" si="62"/>
        <v>760</v>
      </c>
      <c r="AM112" s="5">
        <f t="shared" si="63"/>
        <v>1620</v>
      </c>
      <c r="AN112" s="5">
        <f t="shared" si="64"/>
        <v>-860</v>
      </c>
      <c r="AO112" s="6">
        <f t="shared" si="65"/>
        <v>0.46913580246913578</v>
      </c>
    </row>
    <row r="113" spans="1:41" x14ac:dyDescent="0.25">
      <c r="A113" s="3" t="s">
        <v>120</v>
      </c>
      <c r="B113" s="4"/>
      <c r="C113" s="5">
        <f>0</f>
        <v>0</v>
      </c>
      <c r="D113" s="5">
        <f t="shared" si="44"/>
        <v>0</v>
      </c>
      <c r="E113" s="6" t="str">
        <f t="shared" si="45"/>
        <v/>
      </c>
      <c r="F113" s="4"/>
      <c r="G113" s="5">
        <f>0</f>
        <v>0</v>
      </c>
      <c r="H113" s="5">
        <f t="shared" si="46"/>
        <v>0</v>
      </c>
      <c r="I113" s="6" t="str">
        <f t="shared" si="47"/>
        <v/>
      </c>
      <c r="J113" s="4"/>
      <c r="K113" s="5">
        <f>0</f>
        <v>0</v>
      </c>
      <c r="L113" s="5">
        <f t="shared" si="48"/>
        <v>0</v>
      </c>
      <c r="M113" s="6" t="str">
        <f t="shared" si="49"/>
        <v/>
      </c>
      <c r="N113" s="4"/>
      <c r="O113" s="5">
        <f>0</f>
        <v>0</v>
      </c>
      <c r="P113" s="5">
        <f t="shared" si="50"/>
        <v>0</v>
      </c>
      <c r="Q113" s="6" t="str">
        <f t="shared" si="51"/>
        <v/>
      </c>
      <c r="R113" s="4"/>
      <c r="S113" s="5">
        <f>1000</f>
        <v>1000</v>
      </c>
      <c r="T113" s="5">
        <f t="shared" si="52"/>
        <v>-1000</v>
      </c>
      <c r="U113" s="6">
        <f t="shared" si="53"/>
        <v>0</v>
      </c>
      <c r="V113" s="4"/>
      <c r="W113" s="5">
        <f>0</f>
        <v>0</v>
      </c>
      <c r="X113" s="5">
        <f t="shared" si="54"/>
        <v>0</v>
      </c>
      <c r="Y113" s="6" t="str">
        <f t="shared" si="55"/>
        <v/>
      </c>
      <c r="Z113" s="5">
        <f>147.45</f>
        <v>147.44999999999999</v>
      </c>
      <c r="AA113" s="5">
        <f>0</f>
        <v>0</v>
      </c>
      <c r="AB113" s="5">
        <f t="shared" si="56"/>
        <v>147.44999999999999</v>
      </c>
      <c r="AC113" s="6" t="str">
        <f t="shared" si="57"/>
        <v/>
      </c>
      <c r="AD113" s="4"/>
      <c r="AE113" s="5">
        <f>0</f>
        <v>0</v>
      </c>
      <c r="AF113" s="5">
        <f t="shared" si="58"/>
        <v>0</v>
      </c>
      <c r="AG113" s="6" t="str">
        <f t="shared" si="59"/>
        <v/>
      </c>
      <c r="AH113" s="4"/>
      <c r="AI113" s="5">
        <f>0</f>
        <v>0</v>
      </c>
      <c r="AJ113" s="5">
        <f t="shared" si="60"/>
        <v>0</v>
      </c>
      <c r="AK113" s="6" t="str">
        <f t="shared" si="61"/>
        <v/>
      </c>
      <c r="AL113" s="5">
        <f t="shared" si="62"/>
        <v>147.44999999999999</v>
      </c>
      <c r="AM113" s="5">
        <f t="shared" si="63"/>
        <v>1000</v>
      </c>
      <c r="AN113" s="5">
        <f t="shared" si="64"/>
        <v>-852.55</v>
      </c>
      <c r="AO113" s="6">
        <f t="shared" si="65"/>
        <v>0.14745</v>
      </c>
    </row>
    <row r="114" spans="1:41" x14ac:dyDescent="0.25">
      <c r="A114" s="3" t="s">
        <v>121</v>
      </c>
      <c r="B114" s="5">
        <f>230.98</f>
        <v>230.98</v>
      </c>
      <c r="C114" s="5">
        <f>200</f>
        <v>200</v>
      </c>
      <c r="D114" s="5">
        <f t="shared" si="44"/>
        <v>30.97999999999999</v>
      </c>
      <c r="E114" s="6">
        <f t="shared" si="45"/>
        <v>1.1549</v>
      </c>
      <c r="F114" s="5">
        <f>230.98</f>
        <v>230.98</v>
      </c>
      <c r="G114" s="5">
        <f>200</f>
        <v>200</v>
      </c>
      <c r="H114" s="5">
        <f t="shared" si="46"/>
        <v>30.97999999999999</v>
      </c>
      <c r="I114" s="6">
        <f t="shared" si="47"/>
        <v>1.1549</v>
      </c>
      <c r="J114" s="5">
        <f>219.99</f>
        <v>219.99</v>
      </c>
      <c r="K114" s="5">
        <f>200</f>
        <v>200</v>
      </c>
      <c r="L114" s="5">
        <f t="shared" si="48"/>
        <v>19.990000000000009</v>
      </c>
      <c r="M114" s="6">
        <f t="shared" si="49"/>
        <v>1.09995</v>
      </c>
      <c r="N114" s="5">
        <f>607.97</f>
        <v>607.97</v>
      </c>
      <c r="O114" s="5">
        <f>200</f>
        <v>200</v>
      </c>
      <c r="P114" s="5">
        <f t="shared" si="50"/>
        <v>407.97</v>
      </c>
      <c r="Q114" s="6">
        <f t="shared" si="51"/>
        <v>3.0398499999999999</v>
      </c>
      <c r="R114" s="5">
        <f>319.98</f>
        <v>319.98</v>
      </c>
      <c r="S114" s="5">
        <f>200</f>
        <v>200</v>
      </c>
      <c r="T114" s="5">
        <f t="shared" si="52"/>
        <v>119.98000000000002</v>
      </c>
      <c r="U114" s="6">
        <f t="shared" si="53"/>
        <v>1.5999000000000001</v>
      </c>
      <c r="V114" s="5">
        <f>-167.99</f>
        <v>-167.99</v>
      </c>
      <c r="W114" s="5">
        <f>200</f>
        <v>200</v>
      </c>
      <c r="X114" s="5">
        <f t="shared" si="54"/>
        <v>-367.99</v>
      </c>
      <c r="Y114" s="6">
        <f t="shared" si="55"/>
        <v>-0.83995000000000009</v>
      </c>
      <c r="Z114" s="5">
        <f>295.99</f>
        <v>295.99</v>
      </c>
      <c r="AA114" s="5">
        <f>200</f>
        <v>200</v>
      </c>
      <c r="AB114" s="5">
        <f t="shared" si="56"/>
        <v>95.990000000000009</v>
      </c>
      <c r="AC114" s="6">
        <f t="shared" si="57"/>
        <v>1.4799500000000001</v>
      </c>
      <c r="AD114" s="5">
        <f>835.68</f>
        <v>835.68</v>
      </c>
      <c r="AE114" s="5">
        <f>200</f>
        <v>200</v>
      </c>
      <c r="AF114" s="5">
        <f t="shared" si="58"/>
        <v>635.67999999999995</v>
      </c>
      <c r="AG114" s="6">
        <f t="shared" si="59"/>
        <v>4.1783999999999999</v>
      </c>
      <c r="AH114" s="5">
        <f>987.53</f>
        <v>987.53</v>
      </c>
      <c r="AI114" s="5">
        <f>200</f>
        <v>200</v>
      </c>
      <c r="AJ114" s="5">
        <f t="shared" si="60"/>
        <v>787.53</v>
      </c>
      <c r="AK114" s="6">
        <f t="shared" si="61"/>
        <v>4.9376499999999997</v>
      </c>
      <c r="AL114" s="5">
        <f t="shared" si="62"/>
        <v>3561.1099999999997</v>
      </c>
      <c r="AM114" s="5">
        <f t="shared" si="63"/>
        <v>1800</v>
      </c>
      <c r="AN114" s="5">
        <f t="shared" si="64"/>
        <v>1761.1099999999997</v>
      </c>
      <c r="AO114" s="6">
        <f t="shared" si="65"/>
        <v>1.9783944444444443</v>
      </c>
    </row>
    <row r="115" spans="1:41" x14ac:dyDescent="0.25">
      <c r="A115" s="3" t="s">
        <v>122</v>
      </c>
      <c r="B115" s="5">
        <f>329.36</f>
        <v>329.36</v>
      </c>
      <c r="C115" s="5">
        <f>200</f>
        <v>200</v>
      </c>
      <c r="D115" s="5">
        <f t="shared" si="44"/>
        <v>129.36000000000001</v>
      </c>
      <c r="E115" s="6">
        <f t="shared" si="45"/>
        <v>1.6468</v>
      </c>
      <c r="F115" s="5">
        <f>350</f>
        <v>350</v>
      </c>
      <c r="G115" s="5">
        <f>200</f>
        <v>200</v>
      </c>
      <c r="H115" s="5">
        <f t="shared" si="46"/>
        <v>150</v>
      </c>
      <c r="I115" s="6">
        <f t="shared" si="47"/>
        <v>1.75</v>
      </c>
      <c r="J115" s="4"/>
      <c r="K115" s="5">
        <f>200</f>
        <v>200</v>
      </c>
      <c r="L115" s="5">
        <f t="shared" si="48"/>
        <v>-200</v>
      </c>
      <c r="M115" s="6">
        <f t="shared" si="49"/>
        <v>0</v>
      </c>
      <c r="N115" s="5">
        <f>247.55</f>
        <v>247.55</v>
      </c>
      <c r="O115" s="5">
        <f>200</f>
        <v>200</v>
      </c>
      <c r="P115" s="5">
        <f t="shared" si="50"/>
        <v>47.550000000000011</v>
      </c>
      <c r="Q115" s="6">
        <f t="shared" si="51"/>
        <v>1.2377500000000001</v>
      </c>
      <c r="R115" s="5">
        <f>148.98</f>
        <v>148.97999999999999</v>
      </c>
      <c r="S115" s="5">
        <f>200</f>
        <v>200</v>
      </c>
      <c r="T115" s="5">
        <f t="shared" si="52"/>
        <v>-51.02000000000001</v>
      </c>
      <c r="U115" s="6">
        <f t="shared" si="53"/>
        <v>0.7448999999999999</v>
      </c>
      <c r="V115" s="5">
        <f>63.91</f>
        <v>63.91</v>
      </c>
      <c r="W115" s="5">
        <f>200</f>
        <v>200</v>
      </c>
      <c r="X115" s="5">
        <f t="shared" si="54"/>
        <v>-136.09</v>
      </c>
      <c r="Y115" s="6">
        <f t="shared" si="55"/>
        <v>0.31955</v>
      </c>
      <c r="Z115" s="5">
        <f>387.16</f>
        <v>387.16</v>
      </c>
      <c r="AA115" s="5">
        <f>200</f>
        <v>200</v>
      </c>
      <c r="AB115" s="5">
        <f t="shared" si="56"/>
        <v>187.16000000000003</v>
      </c>
      <c r="AC115" s="6">
        <f t="shared" si="57"/>
        <v>1.9358000000000002</v>
      </c>
      <c r="AD115" s="5">
        <f>221.02</f>
        <v>221.02</v>
      </c>
      <c r="AE115" s="5">
        <f>200</f>
        <v>200</v>
      </c>
      <c r="AF115" s="5">
        <f t="shared" si="58"/>
        <v>21.02000000000001</v>
      </c>
      <c r="AG115" s="6">
        <f t="shared" si="59"/>
        <v>1.1051</v>
      </c>
      <c r="AH115" s="5">
        <f>245.52</f>
        <v>245.52</v>
      </c>
      <c r="AI115" s="5">
        <f>200</f>
        <v>200</v>
      </c>
      <c r="AJ115" s="5">
        <f t="shared" si="60"/>
        <v>45.52000000000001</v>
      </c>
      <c r="AK115" s="6">
        <f t="shared" si="61"/>
        <v>1.2276</v>
      </c>
      <c r="AL115" s="5">
        <f t="shared" si="62"/>
        <v>1993.5000000000002</v>
      </c>
      <c r="AM115" s="5">
        <f t="shared" si="63"/>
        <v>1800</v>
      </c>
      <c r="AN115" s="5">
        <f t="shared" si="64"/>
        <v>193.50000000000023</v>
      </c>
      <c r="AO115" s="6">
        <f t="shared" si="65"/>
        <v>1.1075000000000002</v>
      </c>
    </row>
    <row r="116" spans="1:41" x14ac:dyDescent="0.25">
      <c r="A116" s="3" t="s">
        <v>123</v>
      </c>
      <c r="B116" s="4"/>
      <c r="C116" s="4"/>
      <c r="D116" s="5">
        <f t="shared" ref="D116:D147" si="66">(B116)-(C116)</f>
        <v>0</v>
      </c>
      <c r="E116" s="6" t="str">
        <f t="shared" ref="E116:E148" si="67">IF(C116=0,"",(B116)/(C116))</f>
        <v/>
      </c>
      <c r="F116" s="4"/>
      <c r="G116" s="4"/>
      <c r="H116" s="5">
        <f t="shared" ref="H116:H147" si="68">(F116)-(G116)</f>
        <v>0</v>
      </c>
      <c r="I116" s="6" t="str">
        <f t="shared" ref="I116:I148" si="69">IF(G116=0,"",(F116)/(G116))</f>
        <v/>
      </c>
      <c r="J116" s="5">
        <f>293.63</f>
        <v>293.63</v>
      </c>
      <c r="K116" s="4"/>
      <c r="L116" s="5">
        <f t="shared" ref="L116:L147" si="70">(J116)-(K116)</f>
        <v>293.63</v>
      </c>
      <c r="M116" s="6" t="str">
        <f t="shared" ref="M116:M148" si="71">IF(K116=0,"",(J116)/(K116))</f>
        <v/>
      </c>
      <c r="N116" s="4"/>
      <c r="O116" s="4"/>
      <c r="P116" s="5">
        <f t="shared" ref="P116:P147" si="72">(N116)-(O116)</f>
        <v>0</v>
      </c>
      <c r="Q116" s="6" t="str">
        <f t="shared" ref="Q116:Q148" si="73">IF(O116=0,"",(N116)/(O116))</f>
        <v/>
      </c>
      <c r="R116" s="4"/>
      <c r="S116" s="4"/>
      <c r="T116" s="5">
        <f t="shared" ref="T116:T147" si="74">(R116)-(S116)</f>
        <v>0</v>
      </c>
      <c r="U116" s="6" t="str">
        <f t="shared" ref="U116:U148" si="75">IF(S116=0,"",(R116)/(S116))</f>
        <v/>
      </c>
      <c r="V116" s="4"/>
      <c r="W116" s="4"/>
      <c r="X116" s="5">
        <f t="shared" ref="X116:X147" si="76">(V116)-(W116)</f>
        <v>0</v>
      </c>
      <c r="Y116" s="6" t="str">
        <f t="shared" ref="Y116:Y148" si="77">IF(W116=0,"",(V116)/(W116))</f>
        <v/>
      </c>
      <c r="Z116" s="4"/>
      <c r="AA116" s="4"/>
      <c r="AB116" s="5">
        <f t="shared" ref="AB116:AB147" si="78">(Z116)-(AA116)</f>
        <v>0</v>
      </c>
      <c r="AC116" s="6" t="str">
        <f t="shared" ref="AC116:AC148" si="79">IF(AA116=0,"",(Z116)/(AA116))</f>
        <v/>
      </c>
      <c r="AD116" s="4"/>
      <c r="AE116" s="4"/>
      <c r="AF116" s="5">
        <f t="shared" ref="AF116:AF147" si="80">(AD116)-(AE116)</f>
        <v>0</v>
      </c>
      <c r="AG116" s="6" t="str">
        <f t="shared" ref="AG116:AG148" si="81">IF(AE116=0,"",(AD116)/(AE116))</f>
        <v/>
      </c>
      <c r="AH116" s="4"/>
      <c r="AI116" s="4"/>
      <c r="AJ116" s="5">
        <f t="shared" ref="AJ116:AJ147" si="82">(AH116)-(AI116)</f>
        <v>0</v>
      </c>
      <c r="AK116" s="6" t="str">
        <f t="shared" ref="AK116:AK148" si="83">IF(AI116=0,"",(AH116)/(AI116))</f>
        <v/>
      </c>
      <c r="AL116" s="5">
        <f t="shared" ref="AL116:AL148" si="84">((((((((B116)+(F116))+(J116))+(N116))+(R116))+(V116))+(Z116))+(AD116))+(AH116)</f>
        <v>293.63</v>
      </c>
      <c r="AM116" s="5">
        <f t="shared" ref="AM116:AM148" si="85">((((((((C116)+(G116))+(K116))+(O116))+(S116))+(W116))+(AA116))+(AE116))+(AI116)</f>
        <v>0</v>
      </c>
      <c r="AN116" s="5">
        <f t="shared" ref="AN116:AN147" si="86">(AL116)-(AM116)</f>
        <v>293.63</v>
      </c>
      <c r="AO116" s="6" t="str">
        <f t="shared" ref="AO116:AO148" si="87">IF(AM116=0,"",(AL116)/(AM116))</f>
        <v/>
      </c>
    </row>
    <row r="117" spans="1:41" x14ac:dyDescent="0.25">
      <c r="A117" s="3" t="s">
        <v>124</v>
      </c>
      <c r="B117" s="4"/>
      <c r="C117" s="5">
        <f>0</f>
        <v>0</v>
      </c>
      <c r="D117" s="5">
        <f t="shared" si="66"/>
        <v>0</v>
      </c>
      <c r="E117" s="6" t="str">
        <f t="shared" si="67"/>
        <v/>
      </c>
      <c r="F117" s="4"/>
      <c r="G117" s="5">
        <f>0</f>
        <v>0</v>
      </c>
      <c r="H117" s="5">
        <f t="shared" si="68"/>
        <v>0</v>
      </c>
      <c r="I117" s="6" t="str">
        <f t="shared" si="69"/>
        <v/>
      </c>
      <c r="J117" s="4"/>
      <c r="K117" s="5">
        <f>0</f>
        <v>0</v>
      </c>
      <c r="L117" s="5">
        <f t="shared" si="70"/>
        <v>0</v>
      </c>
      <c r="M117" s="6" t="str">
        <f t="shared" si="71"/>
        <v/>
      </c>
      <c r="N117" s="4"/>
      <c r="O117" s="5">
        <f>0</f>
        <v>0</v>
      </c>
      <c r="P117" s="5">
        <f t="shared" si="72"/>
        <v>0</v>
      </c>
      <c r="Q117" s="6" t="str">
        <f t="shared" si="73"/>
        <v/>
      </c>
      <c r="R117" s="4"/>
      <c r="S117" s="5">
        <f>0</f>
        <v>0</v>
      </c>
      <c r="T117" s="5">
        <f t="shared" si="74"/>
        <v>0</v>
      </c>
      <c r="U117" s="6" t="str">
        <f t="shared" si="75"/>
        <v/>
      </c>
      <c r="V117" s="4"/>
      <c r="W117" s="5">
        <f>0</f>
        <v>0</v>
      </c>
      <c r="X117" s="5">
        <f t="shared" si="76"/>
        <v>0</v>
      </c>
      <c r="Y117" s="6" t="str">
        <f t="shared" si="77"/>
        <v/>
      </c>
      <c r="Z117" s="4"/>
      <c r="AA117" s="5">
        <f>0</f>
        <v>0</v>
      </c>
      <c r="AB117" s="5">
        <f t="shared" si="78"/>
        <v>0</v>
      </c>
      <c r="AC117" s="6" t="str">
        <f t="shared" si="79"/>
        <v/>
      </c>
      <c r="AD117" s="4"/>
      <c r="AE117" s="5">
        <f>0</f>
        <v>0</v>
      </c>
      <c r="AF117" s="5">
        <f t="shared" si="80"/>
        <v>0</v>
      </c>
      <c r="AG117" s="6" t="str">
        <f t="shared" si="81"/>
        <v/>
      </c>
      <c r="AH117" s="4"/>
      <c r="AI117" s="5">
        <f>0</f>
        <v>0</v>
      </c>
      <c r="AJ117" s="5">
        <f t="shared" si="82"/>
        <v>0</v>
      </c>
      <c r="AK117" s="6" t="str">
        <f t="shared" si="83"/>
        <v/>
      </c>
      <c r="AL117" s="5">
        <f t="shared" si="84"/>
        <v>0</v>
      </c>
      <c r="AM117" s="5">
        <f t="shared" si="85"/>
        <v>0</v>
      </c>
      <c r="AN117" s="5">
        <f t="shared" si="86"/>
        <v>0</v>
      </c>
      <c r="AO117" s="6" t="str">
        <f t="shared" si="87"/>
        <v/>
      </c>
    </row>
    <row r="118" spans="1:41" x14ac:dyDescent="0.25">
      <c r="A118" s="3" t="s">
        <v>125</v>
      </c>
      <c r="B118" s="5">
        <f>180</f>
        <v>180</v>
      </c>
      <c r="C118" s="5">
        <f>0</f>
        <v>0</v>
      </c>
      <c r="D118" s="5">
        <f t="shared" si="66"/>
        <v>180</v>
      </c>
      <c r="E118" s="6" t="str">
        <f t="shared" si="67"/>
        <v/>
      </c>
      <c r="F118" s="5">
        <f>219</f>
        <v>219</v>
      </c>
      <c r="G118" s="5">
        <f>0</f>
        <v>0</v>
      </c>
      <c r="H118" s="5">
        <f t="shared" si="68"/>
        <v>219</v>
      </c>
      <c r="I118" s="6" t="str">
        <f t="shared" si="69"/>
        <v/>
      </c>
      <c r="J118" s="5">
        <f>219.99</f>
        <v>219.99</v>
      </c>
      <c r="K118" s="5">
        <f>0</f>
        <v>0</v>
      </c>
      <c r="L118" s="5">
        <f t="shared" si="70"/>
        <v>219.99</v>
      </c>
      <c r="M118" s="6" t="str">
        <f t="shared" si="71"/>
        <v/>
      </c>
      <c r="N118" s="5">
        <f>219.99</f>
        <v>219.99</v>
      </c>
      <c r="O118" s="5">
        <f>0</f>
        <v>0</v>
      </c>
      <c r="P118" s="5">
        <f t="shared" si="72"/>
        <v>219.99</v>
      </c>
      <c r="Q118" s="6" t="str">
        <f t="shared" si="73"/>
        <v/>
      </c>
      <c r="R118" s="5">
        <f>409.99</f>
        <v>409.99</v>
      </c>
      <c r="S118" s="5">
        <f>0</f>
        <v>0</v>
      </c>
      <c r="T118" s="5">
        <f t="shared" si="74"/>
        <v>409.99</v>
      </c>
      <c r="U118" s="6" t="str">
        <f t="shared" si="75"/>
        <v/>
      </c>
      <c r="V118" s="5">
        <f>409.99</f>
        <v>409.99</v>
      </c>
      <c r="W118" s="5">
        <f>0</f>
        <v>0</v>
      </c>
      <c r="X118" s="5">
        <f t="shared" si="76"/>
        <v>409.99</v>
      </c>
      <c r="Y118" s="6" t="str">
        <f t="shared" si="77"/>
        <v/>
      </c>
      <c r="Z118" s="5">
        <f>516.02</f>
        <v>516.02</v>
      </c>
      <c r="AA118" s="5">
        <f>0</f>
        <v>0</v>
      </c>
      <c r="AB118" s="5">
        <f t="shared" si="78"/>
        <v>516.02</v>
      </c>
      <c r="AC118" s="6" t="str">
        <f t="shared" si="79"/>
        <v/>
      </c>
      <c r="AD118" s="5">
        <f>436.32</f>
        <v>436.32</v>
      </c>
      <c r="AE118" s="5">
        <f>0</f>
        <v>0</v>
      </c>
      <c r="AF118" s="5">
        <f t="shared" si="80"/>
        <v>436.32</v>
      </c>
      <c r="AG118" s="6" t="str">
        <f t="shared" si="81"/>
        <v/>
      </c>
      <c r="AH118" s="5">
        <f>265</f>
        <v>265</v>
      </c>
      <c r="AI118" s="5">
        <f>0</f>
        <v>0</v>
      </c>
      <c r="AJ118" s="5">
        <f t="shared" si="82"/>
        <v>265</v>
      </c>
      <c r="AK118" s="6" t="str">
        <f t="shared" si="83"/>
        <v/>
      </c>
      <c r="AL118" s="5">
        <f t="shared" si="84"/>
        <v>2876.3</v>
      </c>
      <c r="AM118" s="5">
        <f t="shared" si="85"/>
        <v>0</v>
      </c>
      <c r="AN118" s="5">
        <f t="shared" si="86"/>
        <v>2876.3</v>
      </c>
      <c r="AO118" s="6" t="str">
        <f t="shared" si="87"/>
        <v/>
      </c>
    </row>
    <row r="119" spans="1:41" x14ac:dyDescent="0.25">
      <c r="A119" s="3" t="s">
        <v>126</v>
      </c>
      <c r="B119" s="7">
        <f>((((((((((B108)+(B109))+(B110))+(B111))+(B112))+(B113))+(B114))+(B115))+(B116))+(B117))+(B118)</f>
        <v>1325.3400000000001</v>
      </c>
      <c r="C119" s="7">
        <f>((((((((((C108)+(C109))+(C110))+(C111))+(C112))+(C113))+(C114))+(C115))+(C116))+(C117))+(C118)</f>
        <v>971</v>
      </c>
      <c r="D119" s="7">
        <f t="shared" si="66"/>
        <v>354.34000000000015</v>
      </c>
      <c r="E119" s="8">
        <f t="shared" si="67"/>
        <v>1.3649227600411948</v>
      </c>
      <c r="F119" s="7">
        <f>((((((((((F108)+(F109))+(F110))+(F111))+(F112))+(F113))+(F114))+(F115))+(F116))+(F117))+(F118)</f>
        <v>979.98</v>
      </c>
      <c r="G119" s="7">
        <f>((((((((((G108)+(G109))+(G110))+(G111))+(G112))+(G113))+(G114))+(G115))+(G116))+(G117))+(G118)</f>
        <v>971</v>
      </c>
      <c r="H119" s="7">
        <f t="shared" si="68"/>
        <v>8.9800000000000182</v>
      </c>
      <c r="I119" s="8">
        <f t="shared" si="69"/>
        <v>1.0092481977342946</v>
      </c>
      <c r="J119" s="7">
        <f>((((((((((J108)+(J109))+(J110))+(J111))+(J112))+(J113))+(J114))+(J115))+(J116))+(J117))+(J118)</f>
        <v>1098.6100000000001</v>
      </c>
      <c r="K119" s="7">
        <f>((((((((((K108)+(K109))+(K110))+(K111))+(K112))+(K113))+(K114))+(K115))+(K116))+(K117))+(K118)</f>
        <v>971</v>
      </c>
      <c r="L119" s="7">
        <f t="shared" si="70"/>
        <v>127.61000000000013</v>
      </c>
      <c r="M119" s="8">
        <f t="shared" si="71"/>
        <v>1.1314212152420187</v>
      </c>
      <c r="N119" s="7">
        <f>((((((((((N108)+(N109))+(N110))+(N111))+(N112))+(N113))+(N114))+(N115))+(N116))+(N117))+(N118)</f>
        <v>1075.51</v>
      </c>
      <c r="O119" s="7">
        <f>((((((((((O108)+(O109))+(O110))+(O111))+(O112))+(O113))+(O114))+(O115))+(O116))+(O117))+(O118)</f>
        <v>979</v>
      </c>
      <c r="P119" s="7">
        <f t="shared" si="72"/>
        <v>96.509999999999991</v>
      </c>
      <c r="Q119" s="8">
        <f t="shared" si="73"/>
        <v>1.0985801838610827</v>
      </c>
      <c r="R119" s="7">
        <f>((((((((((R108)+(R109))+(R110))+(R111))+(R112))+(R113))+(R114))+(R115))+(R116))+(R117))+(R118)</f>
        <v>1063.95</v>
      </c>
      <c r="S119" s="7">
        <f>((((((((((S108)+(S109))+(S110))+(S111))+(S112))+(S113))+(S114))+(S115))+(S116))+(S117))+(S118)</f>
        <v>1971</v>
      </c>
      <c r="T119" s="7">
        <f t="shared" si="74"/>
        <v>-907.05</v>
      </c>
      <c r="U119" s="8">
        <f t="shared" si="75"/>
        <v>0.53980213089802132</v>
      </c>
      <c r="V119" s="7">
        <f>((((((((((V108)+(V109))+(V110))+(V111))+(V112))+(V113))+(V114))+(V115))+(V116))+(V117))+(V118)</f>
        <v>305.90999999999997</v>
      </c>
      <c r="W119" s="7">
        <f>((((((((((W108)+(W109))+(W110))+(W111))+(W112))+(W113))+(W114))+(W115))+(W116))+(W117))+(W118)</f>
        <v>971</v>
      </c>
      <c r="X119" s="7">
        <f t="shared" si="76"/>
        <v>-665.09</v>
      </c>
      <c r="Y119" s="8">
        <f t="shared" si="77"/>
        <v>0.31504634397528319</v>
      </c>
      <c r="Z119" s="7">
        <f>((((((((((Z108)+(Z109))+(Z110))+(Z111))+(Z112))+(Z113))+(Z114))+(Z115))+(Z116))+(Z117))+(Z118)</f>
        <v>3286.6199999999994</v>
      </c>
      <c r="AA119" s="7">
        <f>((((((((((AA108)+(AA109))+(AA110))+(AA111))+(AA112))+(AA113))+(AA114))+(AA115))+(AA116))+(AA117))+(AA118)</f>
        <v>971</v>
      </c>
      <c r="AB119" s="7">
        <f t="shared" si="78"/>
        <v>2315.6199999999994</v>
      </c>
      <c r="AC119" s="8">
        <f t="shared" si="79"/>
        <v>3.3847785787847573</v>
      </c>
      <c r="AD119" s="7">
        <f>((((((((((AD108)+(AD109))+(AD110))+(AD111))+(AD112))+(AD113))+(AD114))+(AD115))+(AD116))+(AD117))+(AD118)</f>
        <v>1903.0199999999998</v>
      </c>
      <c r="AE119" s="7">
        <f>((((((((((AE108)+(AE109))+(AE110))+(AE111))+(AE112))+(AE113))+(AE114))+(AE115))+(AE116))+(AE117))+(AE118)</f>
        <v>971</v>
      </c>
      <c r="AF119" s="7">
        <f t="shared" si="80"/>
        <v>932.01999999999975</v>
      </c>
      <c r="AG119" s="8">
        <f t="shared" si="81"/>
        <v>1.9598558187435631</v>
      </c>
      <c r="AH119" s="7">
        <f>((((((((((AH108)+(AH109))+(AH110))+(AH111))+(AH112))+(AH113))+(AH114))+(AH115))+(AH116))+(AH117))+(AH118)</f>
        <v>2266.0500000000002</v>
      </c>
      <c r="AI119" s="7">
        <f>((((((((((AI108)+(AI109))+(AI110))+(AI111))+(AI112))+(AI113))+(AI114))+(AI115))+(AI116))+(AI117))+(AI118)</f>
        <v>2471</v>
      </c>
      <c r="AJ119" s="7">
        <f t="shared" si="82"/>
        <v>-204.94999999999982</v>
      </c>
      <c r="AK119" s="8">
        <f t="shared" si="83"/>
        <v>0.91705787130716321</v>
      </c>
      <c r="AL119" s="7">
        <f t="shared" si="84"/>
        <v>13304.990000000002</v>
      </c>
      <c r="AM119" s="7">
        <f t="shared" si="85"/>
        <v>11247</v>
      </c>
      <c r="AN119" s="7">
        <f t="shared" si="86"/>
        <v>2057.9900000000016</v>
      </c>
      <c r="AO119" s="8">
        <f t="shared" si="87"/>
        <v>1.182981239441629</v>
      </c>
    </row>
    <row r="120" spans="1:41" x14ac:dyDescent="0.25">
      <c r="A120" s="3" t="s">
        <v>127</v>
      </c>
      <c r="B120" s="4"/>
      <c r="C120" s="4"/>
      <c r="D120" s="5">
        <f t="shared" si="66"/>
        <v>0</v>
      </c>
      <c r="E120" s="6" t="str">
        <f t="shared" si="67"/>
        <v/>
      </c>
      <c r="F120" s="4"/>
      <c r="G120" s="4"/>
      <c r="H120" s="5">
        <f t="shared" si="68"/>
        <v>0</v>
      </c>
      <c r="I120" s="6" t="str">
        <f t="shared" si="69"/>
        <v/>
      </c>
      <c r="J120" s="4"/>
      <c r="K120" s="4"/>
      <c r="L120" s="5">
        <f t="shared" si="70"/>
        <v>0</v>
      </c>
      <c r="M120" s="6" t="str">
        <f t="shared" si="71"/>
        <v/>
      </c>
      <c r="N120" s="4"/>
      <c r="O120" s="4"/>
      <c r="P120" s="5">
        <f t="shared" si="72"/>
        <v>0</v>
      </c>
      <c r="Q120" s="6" t="str">
        <f t="shared" si="73"/>
        <v/>
      </c>
      <c r="R120" s="4"/>
      <c r="S120" s="4"/>
      <c r="T120" s="5">
        <f t="shared" si="74"/>
        <v>0</v>
      </c>
      <c r="U120" s="6" t="str">
        <f t="shared" si="75"/>
        <v/>
      </c>
      <c r="V120" s="4"/>
      <c r="W120" s="4"/>
      <c r="X120" s="5">
        <f t="shared" si="76"/>
        <v>0</v>
      </c>
      <c r="Y120" s="6" t="str">
        <f t="shared" si="77"/>
        <v/>
      </c>
      <c r="Z120" s="4"/>
      <c r="AA120" s="4"/>
      <c r="AB120" s="5">
        <f t="shared" si="78"/>
        <v>0</v>
      </c>
      <c r="AC120" s="6" t="str">
        <f t="shared" si="79"/>
        <v/>
      </c>
      <c r="AD120" s="4"/>
      <c r="AE120" s="4"/>
      <c r="AF120" s="5">
        <f t="shared" si="80"/>
        <v>0</v>
      </c>
      <c r="AG120" s="6" t="str">
        <f t="shared" si="81"/>
        <v/>
      </c>
      <c r="AH120" s="4"/>
      <c r="AI120" s="4"/>
      <c r="AJ120" s="5">
        <f t="shared" si="82"/>
        <v>0</v>
      </c>
      <c r="AK120" s="6" t="str">
        <f t="shared" si="83"/>
        <v/>
      </c>
      <c r="AL120" s="5">
        <f t="shared" si="84"/>
        <v>0</v>
      </c>
      <c r="AM120" s="5">
        <f t="shared" si="85"/>
        <v>0</v>
      </c>
      <c r="AN120" s="5">
        <f t="shared" si="86"/>
        <v>0</v>
      </c>
      <c r="AO120" s="6" t="str">
        <f t="shared" si="87"/>
        <v/>
      </c>
    </row>
    <row r="121" spans="1:41" x14ac:dyDescent="0.25">
      <c r="A121" s="3" t="s">
        <v>128</v>
      </c>
      <c r="B121" s="5">
        <f>393.34</f>
        <v>393.34</v>
      </c>
      <c r="C121" s="5">
        <f>100</f>
        <v>100</v>
      </c>
      <c r="D121" s="5">
        <f t="shared" si="66"/>
        <v>293.33999999999997</v>
      </c>
      <c r="E121" s="6">
        <f t="shared" si="67"/>
        <v>3.9333999999999998</v>
      </c>
      <c r="F121" s="5">
        <f>809.75</f>
        <v>809.75</v>
      </c>
      <c r="G121" s="5">
        <f>100</f>
        <v>100</v>
      </c>
      <c r="H121" s="5">
        <f t="shared" si="68"/>
        <v>709.75</v>
      </c>
      <c r="I121" s="6">
        <f t="shared" si="69"/>
        <v>8.0975000000000001</v>
      </c>
      <c r="J121" s="5">
        <f>217</f>
        <v>217</v>
      </c>
      <c r="K121" s="5">
        <f>100</f>
        <v>100</v>
      </c>
      <c r="L121" s="5">
        <f t="shared" si="70"/>
        <v>117</v>
      </c>
      <c r="M121" s="6">
        <f t="shared" si="71"/>
        <v>2.17</v>
      </c>
      <c r="N121" s="5">
        <f>122.18</f>
        <v>122.18</v>
      </c>
      <c r="O121" s="5">
        <f>100</f>
        <v>100</v>
      </c>
      <c r="P121" s="5">
        <f t="shared" si="72"/>
        <v>22.180000000000007</v>
      </c>
      <c r="Q121" s="6">
        <f t="shared" si="73"/>
        <v>1.2218</v>
      </c>
      <c r="R121" s="5">
        <f>831.42</f>
        <v>831.42</v>
      </c>
      <c r="S121" s="5">
        <f>100</f>
        <v>100</v>
      </c>
      <c r="T121" s="5">
        <f t="shared" si="74"/>
        <v>731.42</v>
      </c>
      <c r="U121" s="6">
        <f t="shared" si="75"/>
        <v>8.3141999999999996</v>
      </c>
      <c r="V121" s="5">
        <f>180.58</f>
        <v>180.58</v>
      </c>
      <c r="W121" s="5">
        <f>100</f>
        <v>100</v>
      </c>
      <c r="X121" s="5">
        <f t="shared" si="76"/>
        <v>80.580000000000013</v>
      </c>
      <c r="Y121" s="6">
        <f t="shared" si="77"/>
        <v>1.8058000000000001</v>
      </c>
      <c r="Z121" s="5">
        <f>195.97</f>
        <v>195.97</v>
      </c>
      <c r="AA121" s="5">
        <f>100</f>
        <v>100</v>
      </c>
      <c r="AB121" s="5">
        <f t="shared" si="78"/>
        <v>95.97</v>
      </c>
      <c r="AC121" s="6">
        <f t="shared" si="79"/>
        <v>1.9597</v>
      </c>
      <c r="AD121" s="5">
        <f>220.37</f>
        <v>220.37</v>
      </c>
      <c r="AE121" s="5">
        <f>100</f>
        <v>100</v>
      </c>
      <c r="AF121" s="5">
        <f t="shared" si="80"/>
        <v>120.37</v>
      </c>
      <c r="AG121" s="6">
        <f t="shared" si="81"/>
        <v>2.2037</v>
      </c>
      <c r="AH121" s="4"/>
      <c r="AI121" s="5">
        <f>100</f>
        <v>100</v>
      </c>
      <c r="AJ121" s="5">
        <f t="shared" si="82"/>
        <v>-100</v>
      </c>
      <c r="AK121" s="6">
        <f t="shared" si="83"/>
        <v>0</v>
      </c>
      <c r="AL121" s="5">
        <f t="shared" si="84"/>
        <v>2970.6099999999997</v>
      </c>
      <c r="AM121" s="5">
        <f t="shared" si="85"/>
        <v>900</v>
      </c>
      <c r="AN121" s="5">
        <f t="shared" si="86"/>
        <v>2070.6099999999997</v>
      </c>
      <c r="AO121" s="6">
        <f t="shared" si="87"/>
        <v>3.3006777777777776</v>
      </c>
    </row>
    <row r="122" spans="1:41" x14ac:dyDescent="0.25">
      <c r="A122" s="3" t="s">
        <v>129</v>
      </c>
      <c r="B122" s="5">
        <f>32.87</f>
        <v>32.869999999999997</v>
      </c>
      <c r="C122" s="5">
        <f>20</f>
        <v>20</v>
      </c>
      <c r="D122" s="5">
        <f t="shared" si="66"/>
        <v>12.869999999999997</v>
      </c>
      <c r="E122" s="6">
        <f t="shared" si="67"/>
        <v>1.6435</v>
      </c>
      <c r="F122" s="5">
        <f>25.57</f>
        <v>25.57</v>
      </c>
      <c r="G122" s="5">
        <f>20</f>
        <v>20</v>
      </c>
      <c r="H122" s="5">
        <f t="shared" si="68"/>
        <v>5.57</v>
      </c>
      <c r="I122" s="6">
        <f t="shared" si="69"/>
        <v>1.2785</v>
      </c>
      <c r="J122" s="5">
        <f>25.05</f>
        <v>25.05</v>
      </c>
      <c r="K122" s="5">
        <f>20</f>
        <v>20</v>
      </c>
      <c r="L122" s="5">
        <f t="shared" si="70"/>
        <v>5.0500000000000007</v>
      </c>
      <c r="M122" s="6">
        <f t="shared" si="71"/>
        <v>1.2524999999999999</v>
      </c>
      <c r="N122" s="5">
        <f>32.16</f>
        <v>32.159999999999997</v>
      </c>
      <c r="O122" s="5">
        <f>20</f>
        <v>20</v>
      </c>
      <c r="P122" s="5">
        <f t="shared" si="72"/>
        <v>12.159999999999997</v>
      </c>
      <c r="Q122" s="6">
        <f t="shared" si="73"/>
        <v>1.6079999999999999</v>
      </c>
      <c r="R122" s="5">
        <f>23.68</f>
        <v>23.68</v>
      </c>
      <c r="S122" s="5">
        <f>20</f>
        <v>20</v>
      </c>
      <c r="T122" s="5">
        <f t="shared" si="74"/>
        <v>3.6799999999999997</v>
      </c>
      <c r="U122" s="6">
        <f t="shared" si="75"/>
        <v>1.1839999999999999</v>
      </c>
      <c r="V122" s="5">
        <f>25.3</f>
        <v>25.3</v>
      </c>
      <c r="W122" s="5">
        <f>20</f>
        <v>20</v>
      </c>
      <c r="X122" s="5">
        <f t="shared" si="76"/>
        <v>5.3000000000000007</v>
      </c>
      <c r="Y122" s="6">
        <f t="shared" si="77"/>
        <v>1.2650000000000001</v>
      </c>
      <c r="Z122" s="4"/>
      <c r="AA122" s="5">
        <f>20</f>
        <v>20</v>
      </c>
      <c r="AB122" s="5">
        <f t="shared" si="78"/>
        <v>-20</v>
      </c>
      <c r="AC122" s="6">
        <f t="shared" si="79"/>
        <v>0</v>
      </c>
      <c r="AD122" s="4"/>
      <c r="AE122" s="5">
        <f>20</f>
        <v>20</v>
      </c>
      <c r="AF122" s="5">
        <f t="shared" si="80"/>
        <v>-20</v>
      </c>
      <c r="AG122" s="6">
        <f t="shared" si="81"/>
        <v>0</v>
      </c>
      <c r="AH122" s="5">
        <f>62.71</f>
        <v>62.71</v>
      </c>
      <c r="AI122" s="5">
        <f>20</f>
        <v>20</v>
      </c>
      <c r="AJ122" s="5">
        <f t="shared" si="82"/>
        <v>42.71</v>
      </c>
      <c r="AK122" s="6">
        <f t="shared" si="83"/>
        <v>3.1355</v>
      </c>
      <c r="AL122" s="5">
        <f t="shared" si="84"/>
        <v>227.34</v>
      </c>
      <c r="AM122" s="5">
        <f t="shared" si="85"/>
        <v>180</v>
      </c>
      <c r="AN122" s="5">
        <f t="shared" si="86"/>
        <v>47.34</v>
      </c>
      <c r="AO122" s="6">
        <f t="shared" si="87"/>
        <v>1.2630000000000001</v>
      </c>
    </row>
    <row r="123" spans="1:41" x14ac:dyDescent="0.25">
      <c r="A123" s="3" t="s">
        <v>130</v>
      </c>
      <c r="B123" s="5">
        <f>627.23</f>
        <v>627.23</v>
      </c>
      <c r="C123" s="5">
        <f>500</f>
        <v>500</v>
      </c>
      <c r="D123" s="5">
        <f t="shared" si="66"/>
        <v>127.23000000000002</v>
      </c>
      <c r="E123" s="6">
        <f t="shared" si="67"/>
        <v>1.2544600000000001</v>
      </c>
      <c r="F123" s="5">
        <f>487.99</f>
        <v>487.99</v>
      </c>
      <c r="G123" s="5">
        <f>500</f>
        <v>500</v>
      </c>
      <c r="H123" s="5">
        <f t="shared" si="68"/>
        <v>-12.009999999999991</v>
      </c>
      <c r="I123" s="6">
        <f t="shared" si="69"/>
        <v>0.97598000000000007</v>
      </c>
      <c r="J123" s="5">
        <f>477.99</f>
        <v>477.99</v>
      </c>
      <c r="K123" s="5">
        <f>500</f>
        <v>500</v>
      </c>
      <c r="L123" s="5">
        <f t="shared" si="70"/>
        <v>-22.009999999999991</v>
      </c>
      <c r="M123" s="6">
        <f t="shared" si="71"/>
        <v>0.95598000000000005</v>
      </c>
      <c r="N123" s="5">
        <f>613.64</f>
        <v>613.64</v>
      </c>
      <c r="O123" s="5">
        <f>500</f>
        <v>500</v>
      </c>
      <c r="P123" s="5">
        <f t="shared" si="72"/>
        <v>113.63999999999999</v>
      </c>
      <c r="Q123" s="6">
        <f t="shared" si="73"/>
        <v>1.2272799999999999</v>
      </c>
      <c r="R123" s="5">
        <f>451.98</f>
        <v>451.98</v>
      </c>
      <c r="S123" s="5">
        <f>500</f>
        <v>500</v>
      </c>
      <c r="T123" s="5">
        <f t="shared" si="74"/>
        <v>-48.019999999999982</v>
      </c>
      <c r="U123" s="6">
        <f t="shared" si="75"/>
        <v>0.90395999999999999</v>
      </c>
      <c r="V123" s="5">
        <f>482.6</f>
        <v>482.6</v>
      </c>
      <c r="W123" s="5">
        <f>500</f>
        <v>500</v>
      </c>
      <c r="X123" s="5">
        <f t="shared" si="76"/>
        <v>-17.399999999999977</v>
      </c>
      <c r="Y123" s="6">
        <f t="shared" si="77"/>
        <v>0.96520000000000006</v>
      </c>
      <c r="Z123" s="4"/>
      <c r="AA123" s="5">
        <f>500</f>
        <v>500</v>
      </c>
      <c r="AB123" s="5">
        <f t="shared" si="78"/>
        <v>-500</v>
      </c>
      <c r="AC123" s="6">
        <f t="shared" si="79"/>
        <v>0</v>
      </c>
      <c r="AD123" s="4"/>
      <c r="AE123" s="5">
        <f>500</f>
        <v>500</v>
      </c>
      <c r="AF123" s="5">
        <f t="shared" si="80"/>
        <v>-500</v>
      </c>
      <c r="AG123" s="6">
        <f t="shared" si="81"/>
        <v>0</v>
      </c>
      <c r="AH123" s="5">
        <f>1196.58</f>
        <v>1196.58</v>
      </c>
      <c r="AI123" s="5">
        <f>500</f>
        <v>500</v>
      </c>
      <c r="AJ123" s="5">
        <f t="shared" si="82"/>
        <v>696.57999999999993</v>
      </c>
      <c r="AK123" s="6">
        <f t="shared" si="83"/>
        <v>2.39316</v>
      </c>
      <c r="AL123" s="5">
        <f t="shared" si="84"/>
        <v>4338.01</v>
      </c>
      <c r="AM123" s="5">
        <f t="shared" si="85"/>
        <v>4500</v>
      </c>
      <c r="AN123" s="5">
        <f t="shared" si="86"/>
        <v>-161.98999999999978</v>
      </c>
      <c r="AO123" s="6">
        <f t="shared" si="87"/>
        <v>0.96400222222222232</v>
      </c>
    </row>
    <row r="124" spans="1:41" x14ac:dyDescent="0.25">
      <c r="A124" s="3" t="s">
        <v>131</v>
      </c>
      <c r="B124" s="4"/>
      <c r="C124" s="5">
        <f>0</f>
        <v>0</v>
      </c>
      <c r="D124" s="5">
        <f t="shared" si="66"/>
        <v>0</v>
      </c>
      <c r="E124" s="6" t="str">
        <f t="shared" si="67"/>
        <v/>
      </c>
      <c r="F124" s="4"/>
      <c r="G124" s="5">
        <f>25</f>
        <v>25</v>
      </c>
      <c r="H124" s="5">
        <f t="shared" si="68"/>
        <v>-25</v>
      </c>
      <c r="I124" s="6">
        <f t="shared" si="69"/>
        <v>0</v>
      </c>
      <c r="J124" s="4"/>
      <c r="K124" s="5">
        <f>0</f>
        <v>0</v>
      </c>
      <c r="L124" s="5">
        <f t="shared" si="70"/>
        <v>0</v>
      </c>
      <c r="M124" s="6" t="str">
        <f t="shared" si="71"/>
        <v/>
      </c>
      <c r="N124" s="4"/>
      <c r="O124" s="5">
        <f>0</f>
        <v>0</v>
      </c>
      <c r="P124" s="5">
        <f t="shared" si="72"/>
        <v>0</v>
      </c>
      <c r="Q124" s="6" t="str">
        <f t="shared" si="73"/>
        <v/>
      </c>
      <c r="R124" s="4"/>
      <c r="S124" s="5">
        <f>50</f>
        <v>50</v>
      </c>
      <c r="T124" s="5">
        <f t="shared" si="74"/>
        <v>-50</v>
      </c>
      <c r="U124" s="6">
        <f t="shared" si="75"/>
        <v>0</v>
      </c>
      <c r="V124" s="5">
        <f>100</f>
        <v>100</v>
      </c>
      <c r="W124" s="5">
        <f>0</f>
        <v>0</v>
      </c>
      <c r="X124" s="5">
        <f t="shared" si="76"/>
        <v>100</v>
      </c>
      <c r="Y124" s="6" t="str">
        <f t="shared" si="77"/>
        <v/>
      </c>
      <c r="Z124" s="4"/>
      <c r="AA124" s="5">
        <f>0</f>
        <v>0</v>
      </c>
      <c r="AB124" s="5">
        <f t="shared" si="78"/>
        <v>0</v>
      </c>
      <c r="AC124" s="6" t="str">
        <f t="shared" si="79"/>
        <v/>
      </c>
      <c r="AD124" s="4"/>
      <c r="AE124" s="5">
        <f>0</f>
        <v>0</v>
      </c>
      <c r="AF124" s="5">
        <f t="shared" si="80"/>
        <v>0</v>
      </c>
      <c r="AG124" s="6" t="str">
        <f t="shared" si="81"/>
        <v/>
      </c>
      <c r="AH124" s="4"/>
      <c r="AI124" s="5">
        <f>50</f>
        <v>50</v>
      </c>
      <c r="AJ124" s="5">
        <f t="shared" si="82"/>
        <v>-50</v>
      </c>
      <c r="AK124" s="6">
        <f t="shared" si="83"/>
        <v>0</v>
      </c>
      <c r="AL124" s="5">
        <f t="shared" si="84"/>
        <v>100</v>
      </c>
      <c r="AM124" s="5">
        <f t="shared" si="85"/>
        <v>125</v>
      </c>
      <c r="AN124" s="5">
        <f t="shared" si="86"/>
        <v>-25</v>
      </c>
      <c r="AO124" s="6">
        <f t="shared" si="87"/>
        <v>0.8</v>
      </c>
    </row>
    <row r="125" spans="1:41" x14ac:dyDescent="0.25">
      <c r="A125" s="3" t="s">
        <v>132</v>
      </c>
      <c r="B125" s="7">
        <f>((((B120)+(B121))+(B122))+(B123))+(B124)</f>
        <v>1053.44</v>
      </c>
      <c r="C125" s="7">
        <f>((((C120)+(C121))+(C122))+(C123))+(C124)</f>
        <v>620</v>
      </c>
      <c r="D125" s="7">
        <f t="shared" si="66"/>
        <v>433.44000000000005</v>
      </c>
      <c r="E125" s="8">
        <f t="shared" si="67"/>
        <v>1.6990967741935485</v>
      </c>
      <c r="F125" s="7">
        <f>((((F120)+(F121))+(F122))+(F123))+(F124)</f>
        <v>1323.31</v>
      </c>
      <c r="G125" s="7">
        <f>((((G120)+(G121))+(G122))+(G123))+(G124)</f>
        <v>645</v>
      </c>
      <c r="H125" s="7">
        <f t="shared" si="68"/>
        <v>678.31</v>
      </c>
      <c r="I125" s="8">
        <f t="shared" si="69"/>
        <v>2.0516434108527131</v>
      </c>
      <c r="J125" s="7">
        <f>((((J120)+(J121))+(J122))+(J123))+(J124)</f>
        <v>720.04</v>
      </c>
      <c r="K125" s="7">
        <f>((((K120)+(K121))+(K122))+(K123))+(K124)</f>
        <v>620</v>
      </c>
      <c r="L125" s="7">
        <f t="shared" si="70"/>
        <v>100.03999999999996</v>
      </c>
      <c r="M125" s="8">
        <f t="shared" si="71"/>
        <v>1.1613548387096773</v>
      </c>
      <c r="N125" s="7">
        <f>((((N120)+(N121))+(N122))+(N123))+(N124)</f>
        <v>767.98</v>
      </c>
      <c r="O125" s="7">
        <f>((((O120)+(O121))+(O122))+(O123))+(O124)</f>
        <v>620</v>
      </c>
      <c r="P125" s="7">
        <f t="shared" si="72"/>
        <v>147.98000000000002</v>
      </c>
      <c r="Q125" s="8">
        <f t="shared" si="73"/>
        <v>1.2386774193548387</v>
      </c>
      <c r="R125" s="7">
        <f>((((R120)+(R121))+(R122))+(R123))+(R124)</f>
        <v>1307.08</v>
      </c>
      <c r="S125" s="7">
        <f>((((S120)+(S121))+(S122))+(S123))+(S124)</f>
        <v>670</v>
      </c>
      <c r="T125" s="7">
        <f t="shared" si="74"/>
        <v>637.07999999999993</v>
      </c>
      <c r="U125" s="8">
        <f t="shared" si="75"/>
        <v>1.9508656716417909</v>
      </c>
      <c r="V125" s="7">
        <f>((((V120)+(V121))+(V122))+(V123))+(V124)</f>
        <v>788.48</v>
      </c>
      <c r="W125" s="7">
        <f>((((W120)+(W121))+(W122))+(W123))+(W124)</f>
        <v>620</v>
      </c>
      <c r="X125" s="7">
        <f t="shared" si="76"/>
        <v>168.48000000000002</v>
      </c>
      <c r="Y125" s="8">
        <f t="shared" si="77"/>
        <v>1.271741935483871</v>
      </c>
      <c r="Z125" s="7">
        <f>((((Z120)+(Z121))+(Z122))+(Z123))+(Z124)</f>
        <v>195.97</v>
      </c>
      <c r="AA125" s="7">
        <f>((((AA120)+(AA121))+(AA122))+(AA123))+(AA124)</f>
        <v>620</v>
      </c>
      <c r="AB125" s="7">
        <f t="shared" si="78"/>
        <v>-424.03</v>
      </c>
      <c r="AC125" s="8">
        <f t="shared" si="79"/>
        <v>0.31608064516129031</v>
      </c>
      <c r="AD125" s="7">
        <f>((((AD120)+(AD121))+(AD122))+(AD123))+(AD124)</f>
        <v>220.37</v>
      </c>
      <c r="AE125" s="7">
        <f>((((AE120)+(AE121))+(AE122))+(AE123))+(AE124)</f>
        <v>620</v>
      </c>
      <c r="AF125" s="7">
        <f t="shared" si="80"/>
        <v>-399.63</v>
      </c>
      <c r="AG125" s="8">
        <f t="shared" si="81"/>
        <v>0.35543548387096774</v>
      </c>
      <c r="AH125" s="7">
        <f>((((AH120)+(AH121))+(AH122))+(AH123))+(AH124)</f>
        <v>1259.29</v>
      </c>
      <c r="AI125" s="7">
        <f>((((AI120)+(AI121))+(AI122))+(AI123))+(AI124)</f>
        <v>670</v>
      </c>
      <c r="AJ125" s="7">
        <f t="shared" si="82"/>
        <v>589.29</v>
      </c>
      <c r="AK125" s="8">
        <f t="shared" si="83"/>
        <v>1.8795373134328357</v>
      </c>
      <c r="AL125" s="7">
        <f t="shared" si="84"/>
        <v>7635.96</v>
      </c>
      <c r="AM125" s="7">
        <f t="shared" si="85"/>
        <v>5705</v>
      </c>
      <c r="AN125" s="7">
        <f t="shared" si="86"/>
        <v>1930.96</v>
      </c>
      <c r="AO125" s="8">
        <f t="shared" si="87"/>
        <v>1.3384680105170903</v>
      </c>
    </row>
    <row r="126" spans="1:41" x14ac:dyDescent="0.25">
      <c r="A126" s="3" t="s">
        <v>133</v>
      </c>
      <c r="B126" s="4"/>
      <c r="C126" s="4"/>
      <c r="D126" s="5">
        <f t="shared" si="66"/>
        <v>0</v>
      </c>
      <c r="E126" s="6" t="str">
        <f t="shared" si="67"/>
        <v/>
      </c>
      <c r="F126" s="4"/>
      <c r="G126" s="4"/>
      <c r="H126" s="5">
        <f t="shared" si="68"/>
        <v>0</v>
      </c>
      <c r="I126" s="6" t="str">
        <f t="shared" si="69"/>
        <v/>
      </c>
      <c r="J126" s="4"/>
      <c r="K126" s="4"/>
      <c r="L126" s="5">
        <f t="shared" si="70"/>
        <v>0</v>
      </c>
      <c r="M126" s="6" t="str">
        <f t="shared" si="71"/>
        <v/>
      </c>
      <c r="N126" s="4"/>
      <c r="O126" s="4"/>
      <c r="P126" s="5">
        <f t="shared" si="72"/>
        <v>0</v>
      </c>
      <c r="Q126" s="6" t="str">
        <f t="shared" si="73"/>
        <v/>
      </c>
      <c r="R126" s="4"/>
      <c r="S126" s="4"/>
      <c r="T126" s="5">
        <f t="shared" si="74"/>
        <v>0</v>
      </c>
      <c r="U126" s="6" t="str">
        <f t="shared" si="75"/>
        <v/>
      </c>
      <c r="V126" s="4"/>
      <c r="W126" s="4"/>
      <c r="X126" s="5">
        <f t="shared" si="76"/>
        <v>0</v>
      </c>
      <c r="Y126" s="6" t="str">
        <f t="shared" si="77"/>
        <v/>
      </c>
      <c r="Z126" s="4"/>
      <c r="AA126" s="4"/>
      <c r="AB126" s="5">
        <f t="shared" si="78"/>
        <v>0</v>
      </c>
      <c r="AC126" s="6" t="str">
        <f t="shared" si="79"/>
        <v/>
      </c>
      <c r="AD126" s="4"/>
      <c r="AE126" s="4"/>
      <c r="AF126" s="5">
        <f t="shared" si="80"/>
        <v>0</v>
      </c>
      <c r="AG126" s="6" t="str">
        <f t="shared" si="81"/>
        <v/>
      </c>
      <c r="AH126" s="4"/>
      <c r="AI126" s="4"/>
      <c r="AJ126" s="5">
        <f t="shared" si="82"/>
        <v>0</v>
      </c>
      <c r="AK126" s="6" t="str">
        <f t="shared" si="83"/>
        <v/>
      </c>
      <c r="AL126" s="5">
        <f t="shared" si="84"/>
        <v>0</v>
      </c>
      <c r="AM126" s="5">
        <f t="shared" si="85"/>
        <v>0</v>
      </c>
      <c r="AN126" s="5">
        <f t="shared" si="86"/>
        <v>0</v>
      </c>
      <c r="AO126" s="6" t="str">
        <f t="shared" si="87"/>
        <v/>
      </c>
    </row>
    <row r="127" spans="1:41" x14ac:dyDescent="0.25">
      <c r="A127" s="3" t="s">
        <v>134</v>
      </c>
      <c r="B127" s="5">
        <f>341.49</f>
        <v>341.49</v>
      </c>
      <c r="C127" s="5">
        <f>350</f>
        <v>350</v>
      </c>
      <c r="D127" s="5">
        <f t="shared" si="66"/>
        <v>-8.5099999999999909</v>
      </c>
      <c r="E127" s="6">
        <f t="shared" si="67"/>
        <v>0.97568571428571427</v>
      </c>
      <c r="F127" s="5">
        <f>367.5</f>
        <v>367.5</v>
      </c>
      <c r="G127" s="5">
        <f>350</f>
        <v>350</v>
      </c>
      <c r="H127" s="5">
        <f t="shared" si="68"/>
        <v>17.5</v>
      </c>
      <c r="I127" s="6">
        <f t="shared" si="69"/>
        <v>1.05</v>
      </c>
      <c r="J127" s="5">
        <f>367.5</f>
        <v>367.5</v>
      </c>
      <c r="K127" s="5">
        <f>350</f>
        <v>350</v>
      </c>
      <c r="L127" s="5">
        <f t="shared" si="70"/>
        <v>17.5</v>
      </c>
      <c r="M127" s="6">
        <f t="shared" si="71"/>
        <v>1.05</v>
      </c>
      <c r="N127" s="5">
        <f>367.5</f>
        <v>367.5</v>
      </c>
      <c r="O127" s="5">
        <f>350</f>
        <v>350</v>
      </c>
      <c r="P127" s="5">
        <f t="shared" si="72"/>
        <v>17.5</v>
      </c>
      <c r="Q127" s="6">
        <f t="shared" si="73"/>
        <v>1.05</v>
      </c>
      <c r="R127" s="5">
        <f>367.5</f>
        <v>367.5</v>
      </c>
      <c r="S127" s="5">
        <f>350</f>
        <v>350</v>
      </c>
      <c r="T127" s="5">
        <f t="shared" si="74"/>
        <v>17.5</v>
      </c>
      <c r="U127" s="6">
        <f t="shared" si="75"/>
        <v>1.05</v>
      </c>
      <c r="V127" s="5">
        <f>367.5</f>
        <v>367.5</v>
      </c>
      <c r="W127" s="5">
        <f>350</f>
        <v>350</v>
      </c>
      <c r="X127" s="5">
        <f t="shared" si="76"/>
        <v>17.5</v>
      </c>
      <c r="Y127" s="6">
        <f t="shared" si="77"/>
        <v>1.05</v>
      </c>
      <c r="Z127" s="5">
        <f>376.25</f>
        <v>376.25</v>
      </c>
      <c r="AA127" s="5">
        <f>390</f>
        <v>390</v>
      </c>
      <c r="AB127" s="5">
        <f t="shared" si="78"/>
        <v>-13.75</v>
      </c>
      <c r="AC127" s="6">
        <f t="shared" si="79"/>
        <v>0.96474358974358976</v>
      </c>
      <c r="AD127" s="5">
        <f>388.28</f>
        <v>388.28</v>
      </c>
      <c r="AE127" s="5">
        <f>390</f>
        <v>390</v>
      </c>
      <c r="AF127" s="5">
        <f t="shared" si="80"/>
        <v>-1.7200000000000273</v>
      </c>
      <c r="AG127" s="6">
        <f t="shared" si="81"/>
        <v>0.9955897435897435</v>
      </c>
      <c r="AH127" s="5">
        <f>388.28</f>
        <v>388.28</v>
      </c>
      <c r="AI127" s="5">
        <f>400</f>
        <v>400</v>
      </c>
      <c r="AJ127" s="5">
        <f t="shared" si="82"/>
        <v>-11.720000000000027</v>
      </c>
      <c r="AK127" s="6">
        <f t="shared" si="83"/>
        <v>0.9706999999999999</v>
      </c>
      <c r="AL127" s="5">
        <f t="shared" si="84"/>
        <v>3331.7999999999993</v>
      </c>
      <c r="AM127" s="5">
        <f t="shared" si="85"/>
        <v>3280</v>
      </c>
      <c r="AN127" s="5">
        <f t="shared" si="86"/>
        <v>51.799999999999272</v>
      </c>
      <c r="AO127" s="6">
        <f t="shared" si="87"/>
        <v>1.0157926829268291</v>
      </c>
    </row>
    <row r="128" spans="1:41" x14ac:dyDescent="0.25">
      <c r="A128" s="3" t="s">
        <v>135</v>
      </c>
      <c r="B128" s="5">
        <f>1241.6</f>
        <v>1241.5999999999999</v>
      </c>
      <c r="C128" s="5">
        <f>1800</f>
        <v>1800</v>
      </c>
      <c r="D128" s="5">
        <f t="shared" si="66"/>
        <v>-558.40000000000009</v>
      </c>
      <c r="E128" s="6">
        <f t="shared" si="67"/>
        <v>0.68977777777777771</v>
      </c>
      <c r="F128" s="5">
        <f>2022.72</f>
        <v>2022.72</v>
      </c>
      <c r="G128" s="5">
        <f>0</f>
        <v>0</v>
      </c>
      <c r="H128" s="5">
        <f t="shared" si="68"/>
        <v>2022.72</v>
      </c>
      <c r="I128" s="6" t="str">
        <f t="shared" si="69"/>
        <v/>
      </c>
      <c r="J128" s="5">
        <f>857.88</f>
        <v>857.88</v>
      </c>
      <c r="K128" s="5">
        <f>1100</f>
        <v>1100</v>
      </c>
      <c r="L128" s="5">
        <f t="shared" si="70"/>
        <v>-242.12</v>
      </c>
      <c r="M128" s="6">
        <f t="shared" si="71"/>
        <v>0.77989090909090908</v>
      </c>
      <c r="N128" s="5">
        <f>1218.83</f>
        <v>1218.83</v>
      </c>
      <c r="O128" s="5">
        <f>0</f>
        <v>0</v>
      </c>
      <c r="P128" s="5">
        <f t="shared" si="72"/>
        <v>1218.83</v>
      </c>
      <c r="Q128" s="6" t="str">
        <f t="shared" si="73"/>
        <v/>
      </c>
      <c r="R128" s="4"/>
      <c r="S128" s="5">
        <f>0</f>
        <v>0</v>
      </c>
      <c r="T128" s="5">
        <f t="shared" si="74"/>
        <v>0</v>
      </c>
      <c r="U128" s="6" t="str">
        <f t="shared" si="75"/>
        <v/>
      </c>
      <c r="V128" s="4"/>
      <c r="W128" s="5">
        <f>0</f>
        <v>0</v>
      </c>
      <c r="X128" s="5">
        <f t="shared" si="76"/>
        <v>0</v>
      </c>
      <c r="Y128" s="6" t="str">
        <f t="shared" si="77"/>
        <v/>
      </c>
      <c r="Z128" s="4"/>
      <c r="AA128" s="5">
        <f>0</f>
        <v>0</v>
      </c>
      <c r="AB128" s="5">
        <f t="shared" si="78"/>
        <v>0</v>
      </c>
      <c r="AC128" s="6" t="str">
        <f t="shared" si="79"/>
        <v/>
      </c>
      <c r="AD128" s="4"/>
      <c r="AE128" s="5">
        <f>0</f>
        <v>0</v>
      </c>
      <c r="AF128" s="5">
        <f t="shared" si="80"/>
        <v>0</v>
      </c>
      <c r="AG128" s="6" t="str">
        <f t="shared" si="81"/>
        <v/>
      </c>
      <c r="AH128" s="4"/>
      <c r="AI128" s="5">
        <f>0</f>
        <v>0</v>
      </c>
      <c r="AJ128" s="5">
        <f t="shared" si="82"/>
        <v>0</v>
      </c>
      <c r="AK128" s="6" t="str">
        <f t="shared" si="83"/>
        <v/>
      </c>
      <c r="AL128" s="5">
        <f t="shared" si="84"/>
        <v>5341.03</v>
      </c>
      <c r="AM128" s="5">
        <f t="shared" si="85"/>
        <v>2900</v>
      </c>
      <c r="AN128" s="5">
        <f t="shared" si="86"/>
        <v>2441.0299999999997</v>
      </c>
      <c r="AO128" s="6">
        <f t="shared" si="87"/>
        <v>1.8417344827586206</v>
      </c>
    </row>
    <row r="129" spans="1:45" x14ac:dyDescent="0.25">
      <c r="A129" s="3" t="s">
        <v>136</v>
      </c>
      <c r="B129" s="5">
        <f>905.39</f>
        <v>905.39</v>
      </c>
      <c r="C129" s="5">
        <f>7000</f>
        <v>7000</v>
      </c>
      <c r="D129" s="5">
        <f t="shared" si="66"/>
        <v>-6094.61</v>
      </c>
      <c r="E129" s="6">
        <f t="shared" si="67"/>
        <v>0.12934142857142858</v>
      </c>
      <c r="F129" s="5">
        <f>10864.36</f>
        <v>10864.36</v>
      </c>
      <c r="G129" s="5">
        <f>6000</f>
        <v>6000</v>
      </c>
      <c r="H129" s="5">
        <f t="shared" si="68"/>
        <v>4864.3600000000006</v>
      </c>
      <c r="I129" s="6">
        <f t="shared" si="69"/>
        <v>1.8107266666666668</v>
      </c>
      <c r="J129" s="5">
        <f>3233.21</f>
        <v>3233.21</v>
      </c>
      <c r="K129" s="5">
        <f>7850</f>
        <v>7850</v>
      </c>
      <c r="L129" s="5">
        <f t="shared" si="70"/>
        <v>-4616.79</v>
      </c>
      <c r="M129" s="6">
        <f t="shared" si="71"/>
        <v>0.41187388535031849</v>
      </c>
      <c r="N129" s="5">
        <f>-489.8</f>
        <v>-489.8</v>
      </c>
      <c r="O129" s="5">
        <f>0</f>
        <v>0</v>
      </c>
      <c r="P129" s="5">
        <f t="shared" si="72"/>
        <v>-489.8</v>
      </c>
      <c r="Q129" s="6" t="str">
        <f t="shared" si="73"/>
        <v/>
      </c>
      <c r="R129" s="5">
        <f>6311.91</f>
        <v>6311.91</v>
      </c>
      <c r="S129" s="5">
        <f>0</f>
        <v>0</v>
      </c>
      <c r="T129" s="5">
        <f t="shared" si="74"/>
        <v>6311.91</v>
      </c>
      <c r="U129" s="6" t="str">
        <f t="shared" si="75"/>
        <v/>
      </c>
      <c r="V129" s="4"/>
      <c r="W129" s="5">
        <f>0</f>
        <v>0</v>
      </c>
      <c r="X129" s="5">
        <f t="shared" si="76"/>
        <v>0</v>
      </c>
      <c r="Y129" s="6" t="str">
        <f t="shared" si="77"/>
        <v/>
      </c>
      <c r="Z129" s="4"/>
      <c r="AA129" s="5">
        <f>0</f>
        <v>0</v>
      </c>
      <c r="AB129" s="5">
        <f t="shared" si="78"/>
        <v>0</v>
      </c>
      <c r="AC129" s="6" t="str">
        <f t="shared" si="79"/>
        <v/>
      </c>
      <c r="AD129" s="5">
        <f>541.88</f>
        <v>541.88</v>
      </c>
      <c r="AE129" s="5">
        <f>0</f>
        <v>0</v>
      </c>
      <c r="AF129" s="5">
        <f t="shared" si="80"/>
        <v>541.88</v>
      </c>
      <c r="AG129" s="6" t="str">
        <f t="shared" si="81"/>
        <v/>
      </c>
      <c r="AH129" s="4"/>
      <c r="AI129" s="5">
        <f>0</f>
        <v>0</v>
      </c>
      <c r="AJ129" s="5">
        <f t="shared" si="82"/>
        <v>0</v>
      </c>
      <c r="AK129" s="6" t="str">
        <f t="shared" si="83"/>
        <v/>
      </c>
      <c r="AL129" s="5">
        <f t="shared" si="84"/>
        <v>21366.95</v>
      </c>
      <c r="AM129" s="5">
        <f t="shared" si="85"/>
        <v>20850</v>
      </c>
      <c r="AN129" s="5">
        <f t="shared" si="86"/>
        <v>516.95000000000073</v>
      </c>
      <c r="AO129" s="6">
        <f t="shared" si="87"/>
        <v>1.0247937649880097</v>
      </c>
    </row>
    <row r="130" spans="1:45" x14ac:dyDescent="0.25">
      <c r="A130" s="3" t="s">
        <v>137</v>
      </c>
      <c r="B130" s="5">
        <f>6600</f>
        <v>6600</v>
      </c>
      <c r="C130" s="5">
        <f>0</f>
        <v>0</v>
      </c>
      <c r="D130" s="5">
        <f t="shared" si="66"/>
        <v>6600</v>
      </c>
      <c r="E130" s="6" t="str">
        <f t="shared" si="67"/>
        <v/>
      </c>
      <c r="F130" s="5">
        <f>1100</f>
        <v>1100</v>
      </c>
      <c r="G130" s="5">
        <f>1400</f>
        <v>1400</v>
      </c>
      <c r="H130" s="5">
        <f t="shared" si="68"/>
        <v>-300</v>
      </c>
      <c r="I130" s="6">
        <f t="shared" si="69"/>
        <v>0.7857142857142857</v>
      </c>
      <c r="J130" s="4"/>
      <c r="K130" s="5">
        <f>1000</f>
        <v>1000</v>
      </c>
      <c r="L130" s="5">
        <f t="shared" si="70"/>
        <v>-1000</v>
      </c>
      <c r="M130" s="6">
        <f t="shared" si="71"/>
        <v>0</v>
      </c>
      <c r="N130" s="4"/>
      <c r="O130" s="5">
        <f>0</f>
        <v>0</v>
      </c>
      <c r="P130" s="5">
        <f t="shared" si="72"/>
        <v>0</v>
      </c>
      <c r="Q130" s="6" t="str">
        <f t="shared" si="73"/>
        <v/>
      </c>
      <c r="R130" s="4"/>
      <c r="S130" s="5">
        <f>0</f>
        <v>0</v>
      </c>
      <c r="T130" s="5">
        <f t="shared" si="74"/>
        <v>0</v>
      </c>
      <c r="U130" s="6" t="str">
        <f t="shared" si="75"/>
        <v/>
      </c>
      <c r="V130" s="4"/>
      <c r="W130" s="5">
        <f>0</f>
        <v>0</v>
      </c>
      <c r="X130" s="5">
        <f t="shared" si="76"/>
        <v>0</v>
      </c>
      <c r="Y130" s="6" t="str">
        <f t="shared" si="77"/>
        <v/>
      </c>
      <c r="Z130" s="4"/>
      <c r="AA130" s="5">
        <f>0</f>
        <v>0</v>
      </c>
      <c r="AB130" s="5">
        <f t="shared" si="78"/>
        <v>0</v>
      </c>
      <c r="AC130" s="6" t="str">
        <f t="shared" si="79"/>
        <v/>
      </c>
      <c r="AD130" s="4"/>
      <c r="AE130" s="5">
        <f>0</f>
        <v>0</v>
      </c>
      <c r="AF130" s="5">
        <f t="shared" si="80"/>
        <v>0</v>
      </c>
      <c r="AG130" s="6" t="str">
        <f t="shared" si="81"/>
        <v/>
      </c>
      <c r="AH130" s="4"/>
      <c r="AI130" s="5">
        <f>0</f>
        <v>0</v>
      </c>
      <c r="AJ130" s="5">
        <f t="shared" si="82"/>
        <v>0</v>
      </c>
      <c r="AK130" s="6" t="str">
        <f t="shared" si="83"/>
        <v/>
      </c>
      <c r="AL130" s="5">
        <f t="shared" si="84"/>
        <v>7700</v>
      </c>
      <c r="AM130" s="5">
        <f t="shared" si="85"/>
        <v>2400</v>
      </c>
      <c r="AN130" s="5">
        <f t="shared" si="86"/>
        <v>5300</v>
      </c>
      <c r="AO130" s="6">
        <f t="shared" si="87"/>
        <v>3.2083333333333335</v>
      </c>
    </row>
    <row r="131" spans="1:45" x14ac:dyDescent="0.25">
      <c r="A131" s="3" t="s">
        <v>138</v>
      </c>
      <c r="B131" s="4"/>
      <c r="C131" s="5">
        <f>7000</f>
        <v>7000</v>
      </c>
      <c r="D131" s="5">
        <f t="shared" si="66"/>
        <v>-7000</v>
      </c>
      <c r="E131" s="6">
        <f t="shared" si="67"/>
        <v>0</v>
      </c>
      <c r="F131" s="4"/>
      <c r="G131" s="5">
        <f>700</f>
        <v>700</v>
      </c>
      <c r="H131" s="5">
        <f t="shared" si="68"/>
        <v>-700</v>
      </c>
      <c r="I131" s="6">
        <f t="shared" si="69"/>
        <v>0</v>
      </c>
      <c r="J131" s="4"/>
      <c r="K131" s="5">
        <f>0</f>
        <v>0</v>
      </c>
      <c r="L131" s="5">
        <f t="shared" si="70"/>
        <v>0</v>
      </c>
      <c r="M131" s="6" t="str">
        <f t="shared" si="71"/>
        <v/>
      </c>
      <c r="N131" s="4"/>
      <c r="O131" s="5">
        <f>0</f>
        <v>0</v>
      </c>
      <c r="P131" s="5">
        <f t="shared" si="72"/>
        <v>0</v>
      </c>
      <c r="Q131" s="6" t="str">
        <f t="shared" si="73"/>
        <v/>
      </c>
      <c r="R131" s="4"/>
      <c r="S131" s="5">
        <f>0</f>
        <v>0</v>
      </c>
      <c r="T131" s="5">
        <f t="shared" si="74"/>
        <v>0</v>
      </c>
      <c r="U131" s="6" t="str">
        <f t="shared" si="75"/>
        <v/>
      </c>
      <c r="V131" s="4"/>
      <c r="W131" s="5">
        <f>0</f>
        <v>0</v>
      </c>
      <c r="X131" s="5">
        <f t="shared" si="76"/>
        <v>0</v>
      </c>
      <c r="Y131" s="6" t="str">
        <f t="shared" si="77"/>
        <v/>
      </c>
      <c r="Z131" s="4"/>
      <c r="AA131" s="5">
        <f>0</f>
        <v>0</v>
      </c>
      <c r="AB131" s="5">
        <f t="shared" si="78"/>
        <v>0</v>
      </c>
      <c r="AC131" s="6" t="str">
        <f t="shared" si="79"/>
        <v/>
      </c>
      <c r="AD131" s="4"/>
      <c r="AE131" s="5">
        <f>0</f>
        <v>0</v>
      </c>
      <c r="AF131" s="5">
        <f t="shared" si="80"/>
        <v>0</v>
      </c>
      <c r="AG131" s="6" t="str">
        <f t="shared" si="81"/>
        <v/>
      </c>
      <c r="AH131" s="4"/>
      <c r="AI131" s="5">
        <f>0</f>
        <v>0</v>
      </c>
      <c r="AJ131" s="5">
        <f t="shared" si="82"/>
        <v>0</v>
      </c>
      <c r="AK131" s="6" t="str">
        <f t="shared" si="83"/>
        <v/>
      </c>
      <c r="AL131" s="5">
        <f t="shared" si="84"/>
        <v>0</v>
      </c>
      <c r="AM131" s="5">
        <f t="shared" si="85"/>
        <v>7700</v>
      </c>
      <c r="AN131" s="5">
        <f t="shared" si="86"/>
        <v>-7700</v>
      </c>
      <c r="AO131" s="6">
        <f t="shared" si="87"/>
        <v>0</v>
      </c>
    </row>
    <row r="132" spans="1:45" x14ac:dyDescent="0.25">
      <c r="A132" s="3" t="s">
        <v>139</v>
      </c>
      <c r="B132" s="5">
        <f>4854.44</f>
        <v>4854.4399999999996</v>
      </c>
      <c r="C132" s="5">
        <f>4875</f>
        <v>4875</v>
      </c>
      <c r="D132" s="5">
        <f t="shared" si="66"/>
        <v>-20.5600000000004</v>
      </c>
      <c r="E132" s="6">
        <f t="shared" si="67"/>
        <v>0.99578256410256405</v>
      </c>
      <c r="F132" s="5">
        <f>831.13</f>
        <v>831.13</v>
      </c>
      <c r="G132" s="5">
        <f>0</f>
        <v>0</v>
      </c>
      <c r="H132" s="5">
        <f t="shared" si="68"/>
        <v>831.13</v>
      </c>
      <c r="I132" s="6" t="str">
        <f t="shared" si="69"/>
        <v/>
      </c>
      <c r="J132" s="5">
        <f>7535.1</f>
        <v>7535.1</v>
      </c>
      <c r="K132" s="5">
        <f>14600</f>
        <v>14600</v>
      </c>
      <c r="L132" s="5">
        <f t="shared" si="70"/>
        <v>-7064.9</v>
      </c>
      <c r="M132" s="6">
        <f t="shared" si="71"/>
        <v>0.51610273972602738</v>
      </c>
      <c r="N132" s="5">
        <f>176.8</f>
        <v>176.8</v>
      </c>
      <c r="O132" s="5">
        <f>0</f>
        <v>0</v>
      </c>
      <c r="P132" s="5">
        <f t="shared" si="72"/>
        <v>176.8</v>
      </c>
      <c r="Q132" s="6" t="str">
        <f t="shared" si="73"/>
        <v/>
      </c>
      <c r="R132" s="5">
        <f>1458.14</f>
        <v>1458.14</v>
      </c>
      <c r="S132" s="5">
        <f>0</f>
        <v>0</v>
      </c>
      <c r="T132" s="5">
        <f t="shared" si="74"/>
        <v>1458.14</v>
      </c>
      <c r="U132" s="6" t="str">
        <f t="shared" si="75"/>
        <v/>
      </c>
      <c r="V132" s="4"/>
      <c r="W132" s="5">
        <f>0</f>
        <v>0</v>
      </c>
      <c r="X132" s="5">
        <f t="shared" si="76"/>
        <v>0</v>
      </c>
      <c r="Y132" s="6" t="str">
        <f t="shared" si="77"/>
        <v/>
      </c>
      <c r="Z132" s="4"/>
      <c r="AA132" s="5">
        <f>0</f>
        <v>0</v>
      </c>
      <c r="AB132" s="5">
        <f t="shared" si="78"/>
        <v>0</v>
      </c>
      <c r="AC132" s="6" t="str">
        <f t="shared" si="79"/>
        <v/>
      </c>
      <c r="AD132" s="4"/>
      <c r="AE132" s="5">
        <f>0</f>
        <v>0</v>
      </c>
      <c r="AF132" s="5">
        <f t="shared" si="80"/>
        <v>0</v>
      </c>
      <c r="AG132" s="6" t="str">
        <f t="shared" si="81"/>
        <v/>
      </c>
      <c r="AH132" s="4"/>
      <c r="AI132" s="5">
        <f>0</f>
        <v>0</v>
      </c>
      <c r="AJ132" s="5">
        <f t="shared" si="82"/>
        <v>0</v>
      </c>
      <c r="AK132" s="6" t="str">
        <f t="shared" si="83"/>
        <v/>
      </c>
      <c r="AL132" s="5">
        <f t="shared" si="84"/>
        <v>14855.609999999999</v>
      </c>
      <c r="AM132" s="5">
        <f t="shared" si="85"/>
        <v>19475</v>
      </c>
      <c r="AN132" s="5">
        <f t="shared" si="86"/>
        <v>-4619.3900000000012</v>
      </c>
      <c r="AO132" s="6">
        <f t="shared" si="87"/>
        <v>0.76280410783055197</v>
      </c>
    </row>
    <row r="133" spans="1:45" x14ac:dyDescent="0.25">
      <c r="A133" s="3" t="s">
        <v>140</v>
      </c>
      <c r="B133" s="4"/>
      <c r="C133" s="5">
        <f>1500</f>
        <v>1500</v>
      </c>
      <c r="D133" s="5">
        <f t="shared" si="66"/>
        <v>-1500</v>
      </c>
      <c r="E133" s="6">
        <f t="shared" si="67"/>
        <v>0</v>
      </c>
      <c r="F133" s="4"/>
      <c r="G133" s="5">
        <f>0</f>
        <v>0</v>
      </c>
      <c r="H133" s="5">
        <f t="shared" si="68"/>
        <v>0</v>
      </c>
      <c r="I133" s="6" t="str">
        <f t="shared" si="69"/>
        <v/>
      </c>
      <c r="J133" s="5">
        <f>780.23</f>
        <v>780.23</v>
      </c>
      <c r="K133" s="5">
        <f>2250</f>
        <v>2250</v>
      </c>
      <c r="L133" s="5">
        <f t="shared" si="70"/>
        <v>-1469.77</v>
      </c>
      <c r="M133" s="6">
        <f t="shared" si="71"/>
        <v>0.3467688888888889</v>
      </c>
      <c r="N133" s="5">
        <f>278.86</f>
        <v>278.86</v>
      </c>
      <c r="O133" s="5">
        <f>0</f>
        <v>0</v>
      </c>
      <c r="P133" s="5">
        <f t="shared" si="72"/>
        <v>278.86</v>
      </c>
      <c r="Q133" s="6" t="str">
        <f t="shared" si="73"/>
        <v/>
      </c>
      <c r="R133" s="4"/>
      <c r="S133" s="5">
        <f>0</f>
        <v>0</v>
      </c>
      <c r="T133" s="5">
        <f t="shared" si="74"/>
        <v>0</v>
      </c>
      <c r="U133" s="6" t="str">
        <f t="shared" si="75"/>
        <v/>
      </c>
      <c r="V133" s="4"/>
      <c r="W133" s="5">
        <f>0</f>
        <v>0</v>
      </c>
      <c r="X133" s="5">
        <f t="shared" si="76"/>
        <v>0</v>
      </c>
      <c r="Y133" s="6" t="str">
        <f t="shared" si="77"/>
        <v/>
      </c>
      <c r="Z133" s="4"/>
      <c r="AA133" s="5">
        <f>0</f>
        <v>0</v>
      </c>
      <c r="AB133" s="5">
        <f t="shared" si="78"/>
        <v>0</v>
      </c>
      <c r="AC133" s="6" t="str">
        <f t="shared" si="79"/>
        <v/>
      </c>
      <c r="AD133" s="4"/>
      <c r="AE133" s="5">
        <f>0</f>
        <v>0</v>
      </c>
      <c r="AF133" s="5">
        <f t="shared" si="80"/>
        <v>0</v>
      </c>
      <c r="AG133" s="6" t="str">
        <f t="shared" si="81"/>
        <v/>
      </c>
      <c r="AH133" s="4"/>
      <c r="AI133" s="5">
        <f>0</f>
        <v>0</v>
      </c>
      <c r="AJ133" s="5">
        <f t="shared" si="82"/>
        <v>0</v>
      </c>
      <c r="AK133" s="6" t="str">
        <f t="shared" si="83"/>
        <v/>
      </c>
      <c r="AL133" s="5">
        <f t="shared" si="84"/>
        <v>1059.0900000000001</v>
      </c>
      <c r="AM133" s="5">
        <f t="shared" si="85"/>
        <v>3750</v>
      </c>
      <c r="AN133" s="5">
        <f t="shared" si="86"/>
        <v>-2690.91</v>
      </c>
      <c r="AO133" s="6">
        <f t="shared" si="87"/>
        <v>0.28242400000000006</v>
      </c>
    </row>
    <row r="134" spans="1:45" x14ac:dyDescent="0.25">
      <c r="A134" s="3" t="s">
        <v>141</v>
      </c>
      <c r="B134" s="5">
        <f>317.99</f>
        <v>317.99</v>
      </c>
      <c r="C134" s="5">
        <f>2500</f>
        <v>2500</v>
      </c>
      <c r="D134" s="5">
        <f t="shared" si="66"/>
        <v>-2182.0100000000002</v>
      </c>
      <c r="E134" s="6">
        <f t="shared" si="67"/>
        <v>0.127196</v>
      </c>
      <c r="F134" s="5">
        <f>48</f>
        <v>48</v>
      </c>
      <c r="G134" s="5">
        <f>0</f>
        <v>0</v>
      </c>
      <c r="H134" s="5">
        <f t="shared" si="68"/>
        <v>48</v>
      </c>
      <c r="I134" s="6" t="str">
        <f t="shared" si="69"/>
        <v/>
      </c>
      <c r="J134" s="4"/>
      <c r="K134" s="5">
        <f>2000</f>
        <v>2000</v>
      </c>
      <c r="L134" s="5">
        <f t="shared" si="70"/>
        <v>-2000</v>
      </c>
      <c r="M134" s="6">
        <f t="shared" si="71"/>
        <v>0</v>
      </c>
      <c r="N134" s="5">
        <f>200</f>
        <v>200</v>
      </c>
      <c r="O134" s="5">
        <f>0</f>
        <v>0</v>
      </c>
      <c r="P134" s="5">
        <f t="shared" si="72"/>
        <v>200</v>
      </c>
      <c r="Q134" s="6" t="str">
        <f t="shared" si="73"/>
        <v/>
      </c>
      <c r="R134" s="4"/>
      <c r="S134" s="5">
        <f>0</f>
        <v>0</v>
      </c>
      <c r="T134" s="5">
        <f t="shared" si="74"/>
        <v>0</v>
      </c>
      <c r="U134" s="6" t="str">
        <f t="shared" si="75"/>
        <v/>
      </c>
      <c r="V134" s="4"/>
      <c r="W134" s="5">
        <f>0</f>
        <v>0</v>
      </c>
      <c r="X134" s="5">
        <f t="shared" si="76"/>
        <v>0</v>
      </c>
      <c r="Y134" s="6" t="str">
        <f t="shared" si="77"/>
        <v/>
      </c>
      <c r="Z134" s="4"/>
      <c r="AA134" s="5">
        <f>0</f>
        <v>0</v>
      </c>
      <c r="AB134" s="5">
        <f t="shared" si="78"/>
        <v>0</v>
      </c>
      <c r="AC134" s="6" t="str">
        <f t="shared" si="79"/>
        <v/>
      </c>
      <c r="AD134" s="4"/>
      <c r="AE134" s="5">
        <f>0</f>
        <v>0</v>
      </c>
      <c r="AF134" s="5">
        <f t="shared" si="80"/>
        <v>0</v>
      </c>
      <c r="AG134" s="6" t="str">
        <f t="shared" si="81"/>
        <v/>
      </c>
      <c r="AH134" s="4"/>
      <c r="AI134" s="5">
        <f>0</f>
        <v>0</v>
      </c>
      <c r="AJ134" s="5">
        <f t="shared" si="82"/>
        <v>0</v>
      </c>
      <c r="AK134" s="6" t="str">
        <f t="shared" si="83"/>
        <v/>
      </c>
      <c r="AL134" s="5">
        <f t="shared" si="84"/>
        <v>565.99</v>
      </c>
      <c r="AM134" s="5">
        <f t="shared" si="85"/>
        <v>4500</v>
      </c>
      <c r="AN134" s="5">
        <f t="shared" si="86"/>
        <v>-3934.01</v>
      </c>
      <c r="AO134" s="6">
        <f t="shared" si="87"/>
        <v>0.12577555555555556</v>
      </c>
    </row>
    <row r="135" spans="1:45" x14ac:dyDescent="0.25">
      <c r="A135" s="3" t="s">
        <v>142</v>
      </c>
      <c r="B135" s="4"/>
      <c r="C135" s="5">
        <f>2650</f>
        <v>2650</v>
      </c>
      <c r="D135" s="5">
        <f t="shared" si="66"/>
        <v>-2650</v>
      </c>
      <c r="E135" s="6">
        <f t="shared" si="67"/>
        <v>0</v>
      </c>
      <c r="F135" s="5">
        <f>443</f>
        <v>443</v>
      </c>
      <c r="G135" s="5">
        <f>0</f>
        <v>0</v>
      </c>
      <c r="H135" s="5">
        <f t="shared" si="68"/>
        <v>443</v>
      </c>
      <c r="I135" s="6" t="str">
        <f t="shared" si="69"/>
        <v/>
      </c>
      <c r="J135" s="4"/>
      <c r="K135" s="5">
        <f>500</f>
        <v>500</v>
      </c>
      <c r="L135" s="5">
        <f t="shared" si="70"/>
        <v>-500</v>
      </c>
      <c r="M135" s="6">
        <f t="shared" si="71"/>
        <v>0</v>
      </c>
      <c r="N135" s="4"/>
      <c r="O135" s="5">
        <f>0</f>
        <v>0</v>
      </c>
      <c r="P135" s="5">
        <f t="shared" si="72"/>
        <v>0</v>
      </c>
      <c r="Q135" s="6" t="str">
        <f t="shared" si="73"/>
        <v/>
      </c>
      <c r="R135" s="4"/>
      <c r="S135" s="5">
        <f>0</f>
        <v>0</v>
      </c>
      <c r="T135" s="5">
        <f t="shared" si="74"/>
        <v>0</v>
      </c>
      <c r="U135" s="6" t="str">
        <f t="shared" si="75"/>
        <v/>
      </c>
      <c r="V135" s="4"/>
      <c r="W135" s="5">
        <f>0</f>
        <v>0</v>
      </c>
      <c r="X135" s="5">
        <f t="shared" si="76"/>
        <v>0</v>
      </c>
      <c r="Y135" s="6" t="str">
        <f t="shared" si="77"/>
        <v/>
      </c>
      <c r="Z135" s="4"/>
      <c r="AA135" s="5">
        <f>0</f>
        <v>0</v>
      </c>
      <c r="AB135" s="5">
        <f t="shared" si="78"/>
        <v>0</v>
      </c>
      <c r="AC135" s="6" t="str">
        <f t="shared" si="79"/>
        <v/>
      </c>
      <c r="AD135" s="5">
        <f>743.85</f>
        <v>743.85</v>
      </c>
      <c r="AE135" s="5">
        <f>0</f>
        <v>0</v>
      </c>
      <c r="AF135" s="5">
        <f t="shared" si="80"/>
        <v>743.85</v>
      </c>
      <c r="AG135" s="6" t="str">
        <f t="shared" si="81"/>
        <v/>
      </c>
      <c r="AH135" s="5">
        <f>27.5</f>
        <v>27.5</v>
      </c>
      <c r="AI135" s="5">
        <f>0</f>
        <v>0</v>
      </c>
      <c r="AJ135" s="5">
        <f t="shared" si="82"/>
        <v>27.5</v>
      </c>
      <c r="AK135" s="6" t="str">
        <f t="shared" si="83"/>
        <v/>
      </c>
      <c r="AL135" s="5">
        <f t="shared" si="84"/>
        <v>1214.3499999999999</v>
      </c>
      <c r="AM135" s="5">
        <f t="shared" si="85"/>
        <v>3150</v>
      </c>
      <c r="AN135" s="5">
        <f t="shared" si="86"/>
        <v>-1935.65</v>
      </c>
      <c r="AO135" s="6">
        <f t="shared" si="87"/>
        <v>0.38550793650793647</v>
      </c>
    </row>
    <row r="136" spans="1:45" x14ac:dyDescent="0.25">
      <c r="A136" s="3" t="s">
        <v>143</v>
      </c>
      <c r="B136" s="4"/>
      <c r="C136" s="4"/>
      <c r="D136" s="5">
        <f t="shared" si="66"/>
        <v>0</v>
      </c>
      <c r="E136" s="6" t="str">
        <f t="shared" si="67"/>
        <v/>
      </c>
      <c r="F136" s="5">
        <f>800</f>
        <v>800</v>
      </c>
      <c r="G136" s="4"/>
      <c r="H136" s="5">
        <f t="shared" si="68"/>
        <v>800</v>
      </c>
      <c r="I136" s="6" t="str">
        <f t="shared" si="69"/>
        <v/>
      </c>
      <c r="J136" s="4"/>
      <c r="K136" s="4"/>
      <c r="L136" s="5">
        <f t="shared" si="70"/>
        <v>0</v>
      </c>
      <c r="M136" s="6" t="str">
        <f t="shared" si="71"/>
        <v/>
      </c>
      <c r="N136" s="4"/>
      <c r="O136" s="4"/>
      <c r="P136" s="5">
        <f t="shared" si="72"/>
        <v>0</v>
      </c>
      <c r="Q136" s="6" t="str">
        <f t="shared" si="73"/>
        <v/>
      </c>
      <c r="R136" s="5">
        <f>400</f>
        <v>400</v>
      </c>
      <c r="S136" s="4"/>
      <c r="T136" s="5">
        <f t="shared" si="74"/>
        <v>400</v>
      </c>
      <c r="U136" s="6" t="str">
        <f t="shared" si="75"/>
        <v/>
      </c>
      <c r="V136" s="4"/>
      <c r="W136" s="4"/>
      <c r="X136" s="5">
        <f t="shared" si="76"/>
        <v>0</v>
      </c>
      <c r="Y136" s="6" t="str">
        <f t="shared" si="77"/>
        <v/>
      </c>
      <c r="Z136" s="4"/>
      <c r="AA136" s="4"/>
      <c r="AB136" s="5">
        <f t="shared" si="78"/>
        <v>0</v>
      </c>
      <c r="AC136" s="6" t="str">
        <f t="shared" si="79"/>
        <v/>
      </c>
      <c r="AD136" s="4"/>
      <c r="AE136" s="4"/>
      <c r="AF136" s="5">
        <f t="shared" si="80"/>
        <v>0</v>
      </c>
      <c r="AG136" s="6" t="str">
        <f t="shared" si="81"/>
        <v/>
      </c>
      <c r="AH136" s="4"/>
      <c r="AI136" s="4"/>
      <c r="AJ136" s="5">
        <f t="shared" si="82"/>
        <v>0</v>
      </c>
      <c r="AK136" s="6" t="str">
        <f t="shared" si="83"/>
        <v/>
      </c>
      <c r="AL136" s="5">
        <f t="shared" si="84"/>
        <v>1200</v>
      </c>
      <c r="AM136" s="5">
        <f t="shared" si="85"/>
        <v>0</v>
      </c>
      <c r="AN136" s="5">
        <f t="shared" si="86"/>
        <v>1200</v>
      </c>
      <c r="AO136" s="6" t="str">
        <f t="shared" si="87"/>
        <v/>
      </c>
    </row>
    <row r="137" spans="1:45" x14ac:dyDescent="0.25">
      <c r="A137" s="3" t="s">
        <v>144</v>
      </c>
      <c r="B137" s="5">
        <f>1083</f>
        <v>1083</v>
      </c>
      <c r="C137" s="5">
        <f>300</f>
        <v>300</v>
      </c>
      <c r="D137" s="5">
        <f t="shared" si="66"/>
        <v>783</v>
      </c>
      <c r="E137" s="6">
        <f t="shared" si="67"/>
        <v>3.61</v>
      </c>
      <c r="F137" s="5">
        <f>256.6</f>
        <v>256.60000000000002</v>
      </c>
      <c r="G137" s="5">
        <f>0</f>
        <v>0</v>
      </c>
      <c r="H137" s="5">
        <f t="shared" si="68"/>
        <v>256.60000000000002</v>
      </c>
      <c r="I137" s="6" t="str">
        <f t="shared" si="69"/>
        <v/>
      </c>
      <c r="J137" s="5">
        <f>100</f>
        <v>100</v>
      </c>
      <c r="K137" s="5">
        <f>200</f>
        <v>200</v>
      </c>
      <c r="L137" s="5">
        <f t="shared" si="70"/>
        <v>-100</v>
      </c>
      <c r="M137" s="6">
        <f t="shared" si="71"/>
        <v>0.5</v>
      </c>
      <c r="N137" s="4"/>
      <c r="O137" s="5">
        <f>0</f>
        <v>0</v>
      </c>
      <c r="P137" s="5">
        <f t="shared" si="72"/>
        <v>0</v>
      </c>
      <c r="Q137" s="6" t="str">
        <f t="shared" si="73"/>
        <v/>
      </c>
      <c r="R137" s="4"/>
      <c r="S137" s="5">
        <f>0</f>
        <v>0</v>
      </c>
      <c r="T137" s="5">
        <f t="shared" si="74"/>
        <v>0</v>
      </c>
      <c r="U137" s="6" t="str">
        <f t="shared" si="75"/>
        <v/>
      </c>
      <c r="V137" s="4"/>
      <c r="W137" s="5">
        <f>0</f>
        <v>0</v>
      </c>
      <c r="X137" s="5">
        <f t="shared" si="76"/>
        <v>0</v>
      </c>
      <c r="Y137" s="6" t="str">
        <f t="shared" si="77"/>
        <v/>
      </c>
      <c r="Z137" s="4"/>
      <c r="AA137" s="5">
        <f>0</f>
        <v>0</v>
      </c>
      <c r="AB137" s="5">
        <f t="shared" si="78"/>
        <v>0</v>
      </c>
      <c r="AC137" s="6" t="str">
        <f t="shared" si="79"/>
        <v/>
      </c>
      <c r="AD137" s="5">
        <f>100</f>
        <v>100</v>
      </c>
      <c r="AE137" s="5">
        <f>0</f>
        <v>0</v>
      </c>
      <c r="AF137" s="5">
        <f t="shared" si="80"/>
        <v>100</v>
      </c>
      <c r="AG137" s="6" t="str">
        <f t="shared" si="81"/>
        <v/>
      </c>
      <c r="AH137" s="4"/>
      <c r="AI137" s="5">
        <f>0</f>
        <v>0</v>
      </c>
      <c r="AJ137" s="5">
        <f t="shared" si="82"/>
        <v>0</v>
      </c>
      <c r="AK137" s="6" t="str">
        <f t="shared" si="83"/>
        <v/>
      </c>
      <c r="AL137" s="5">
        <f t="shared" si="84"/>
        <v>1539.6</v>
      </c>
      <c r="AM137" s="5">
        <f t="shared" si="85"/>
        <v>500</v>
      </c>
      <c r="AN137" s="5">
        <f t="shared" si="86"/>
        <v>1039.5999999999999</v>
      </c>
      <c r="AO137" s="6">
        <f t="shared" si="87"/>
        <v>3.0791999999999997</v>
      </c>
    </row>
    <row r="138" spans="1:45" x14ac:dyDescent="0.25">
      <c r="A138" s="3" t="s">
        <v>145</v>
      </c>
      <c r="B138" s="5">
        <f>29200</f>
        <v>29200</v>
      </c>
      <c r="C138" s="5">
        <f>30000</f>
        <v>30000</v>
      </c>
      <c r="D138" s="5">
        <f t="shared" si="66"/>
        <v>-800</v>
      </c>
      <c r="E138" s="6">
        <f t="shared" si="67"/>
        <v>0.97333333333333338</v>
      </c>
      <c r="F138" s="5">
        <f>7192.97</f>
        <v>7192.97</v>
      </c>
      <c r="G138" s="5">
        <f>11500</f>
        <v>11500</v>
      </c>
      <c r="H138" s="5">
        <f t="shared" si="68"/>
        <v>-4307.03</v>
      </c>
      <c r="I138" s="6">
        <f t="shared" si="69"/>
        <v>0.6254756521739131</v>
      </c>
      <c r="J138" s="5">
        <f>6500</f>
        <v>6500</v>
      </c>
      <c r="K138" s="5">
        <f>8000</f>
        <v>8000</v>
      </c>
      <c r="L138" s="5">
        <f t="shared" si="70"/>
        <v>-1500</v>
      </c>
      <c r="M138" s="6">
        <f t="shared" si="71"/>
        <v>0.8125</v>
      </c>
      <c r="N138" s="5">
        <f>167.98</f>
        <v>167.98</v>
      </c>
      <c r="O138" s="5">
        <f>0</f>
        <v>0</v>
      </c>
      <c r="P138" s="5">
        <f t="shared" si="72"/>
        <v>167.98</v>
      </c>
      <c r="Q138" s="6" t="str">
        <f t="shared" si="73"/>
        <v/>
      </c>
      <c r="R138" s="4"/>
      <c r="S138" s="5">
        <f>0</f>
        <v>0</v>
      </c>
      <c r="T138" s="5">
        <f t="shared" si="74"/>
        <v>0</v>
      </c>
      <c r="U138" s="6" t="str">
        <f t="shared" si="75"/>
        <v/>
      </c>
      <c r="V138" s="4"/>
      <c r="W138" s="5">
        <f>0</f>
        <v>0</v>
      </c>
      <c r="X138" s="5">
        <f t="shared" si="76"/>
        <v>0</v>
      </c>
      <c r="Y138" s="6" t="str">
        <f t="shared" si="77"/>
        <v/>
      </c>
      <c r="Z138" s="4"/>
      <c r="AA138" s="5">
        <f>0</f>
        <v>0</v>
      </c>
      <c r="AB138" s="5">
        <f t="shared" si="78"/>
        <v>0</v>
      </c>
      <c r="AC138" s="6" t="str">
        <f t="shared" si="79"/>
        <v/>
      </c>
      <c r="AD138" s="4"/>
      <c r="AE138" s="5">
        <f>0</f>
        <v>0</v>
      </c>
      <c r="AF138" s="5">
        <f t="shared" si="80"/>
        <v>0</v>
      </c>
      <c r="AG138" s="6" t="str">
        <f t="shared" si="81"/>
        <v/>
      </c>
      <c r="AH138" s="4"/>
      <c r="AI138" s="5">
        <f>0</f>
        <v>0</v>
      </c>
      <c r="AJ138" s="5">
        <f t="shared" si="82"/>
        <v>0</v>
      </c>
      <c r="AK138" s="6" t="str">
        <f t="shared" si="83"/>
        <v/>
      </c>
      <c r="AL138" s="5">
        <f t="shared" si="84"/>
        <v>43060.950000000004</v>
      </c>
      <c r="AM138" s="5">
        <f t="shared" si="85"/>
        <v>49500</v>
      </c>
      <c r="AN138" s="5">
        <f t="shared" si="86"/>
        <v>-6439.0499999999956</v>
      </c>
      <c r="AO138" s="6">
        <f t="shared" si="87"/>
        <v>0.86991818181818192</v>
      </c>
    </row>
    <row r="139" spans="1:45" x14ac:dyDescent="0.25">
      <c r="A139" s="3" t="s">
        <v>146</v>
      </c>
      <c r="B139" s="5">
        <f>11545</f>
        <v>11545</v>
      </c>
      <c r="C139" s="5">
        <f>8300</f>
        <v>8300</v>
      </c>
      <c r="D139" s="5">
        <f t="shared" si="66"/>
        <v>3245</v>
      </c>
      <c r="E139" s="6">
        <f t="shared" si="67"/>
        <v>1.3909638554216868</v>
      </c>
      <c r="F139" s="5">
        <f>2440</f>
        <v>2440</v>
      </c>
      <c r="G139" s="5">
        <f>2700</f>
        <v>2700</v>
      </c>
      <c r="H139" s="5">
        <f t="shared" si="68"/>
        <v>-260</v>
      </c>
      <c r="I139" s="6">
        <f t="shared" si="69"/>
        <v>0.90370370370370368</v>
      </c>
      <c r="J139" s="5">
        <f>2707.18</f>
        <v>2707.18</v>
      </c>
      <c r="K139" s="5">
        <f>3500</f>
        <v>3500</v>
      </c>
      <c r="L139" s="5">
        <f t="shared" si="70"/>
        <v>-792.82000000000016</v>
      </c>
      <c r="M139" s="6">
        <f t="shared" si="71"/>
        <v>0.77347999999999995</v>
      </c>
      <c r="N139" s="5">
        <f>2270</f>
        <v>2270</v>
      </c>
      <c r="O139" s="5">
        <f>0</f>
        <v>0</v>
      </c>
      <c r="P139" s="5">
        <f t="shared" si="72"/>
        <v>2270</v>
      </c>
      <c r="Q139" s="6" t="str">
        <f t="shared" si="73"/>
        <v/>
      </c>
      <c r="R139" s="4"/>
      <c r="S139" s="5">
        <f>0</f>
        <v>0</v>
      </c>
      <c r="T139" s="5">
        <f t="shared" si="74"/>
        <v>0</v>
      </c>
      <c r="U139" s="6" t="str">
        <f t="shared" si="75"/>
        <v/>
      </c>
      <c r="V139" s="4"/>
      <c r="W139" s="5">
        <f>0</f>
        <v>0</v>
      </c>
      <c r="X139" s="5">
        <f t="shared" si="76"/>
        <v>0</v>
      </c>
      <c r="Y139" s="6" t="str">
        <f t="shared" si="77"/>
        <v/>
      </c>
      <c r="Z139" s="4"/>
      <c r="AA139" s="5">
        <f>0</f>
        <v>0</v>
      </c>
      <c r="AB139" s="5">
        <f t="shared" si="78"/>
        <v>0</v>
      </c>
      <c r="AC139" s="6" t="str">
        <f t="shared" si="79"/>
        <v/>
      </c>
      <c r="AD139" s="4"/>
      <c r="AE139" s="5">
        <f>0</f>
        <v>0</v>
      </c>
      <c r="AF139" s="5">
        <f t="shared" si="80"/>
        <v>0</v>
      </c>
      <c r="AG139" s="6" t="str">
        <f t="shared" si="81"/>
        <v/>
      </c>
      <c r="AH139" s="4"/>
      <c r="AI139" s="5">
        <f>0</f>
        <v>0</v>
      </c>
      <c r="AJ139" s="5">
        <f t="shared" si="82"/>
        <v>0</v>
      </c>
      <c r="AK139" s="6" t="str">
        <f t="shared" si="83"/>
        <v/>
      </c>
      <c r="AL139" s="5">
        <f t="shared" si="84"/>
        <v>18962.18</v>
      </c>
      <c r="AM139" s="5">
        <f t="shared" si="85"/>
        <v>14500</v>
      </c>
      <c r="AN139" s="5">
        <f t="shared" si="86"/>
        <v>4462.18</v>
      </c>
      <c r="AO139" s="6">
        <f t="shared" si="87"/>
        <v>1.3077365517241379</v>
      </c>
    </row>
    <row r="140" spans="1:45" x14ac:dyDescent="0.25">
      <c r="A140" s="3" t="s">
        <v>147</v>
      </c>
      <c r="B140" s="5">
        <f>-142.56</f>
        <v>-142.56</v>
      </c>
      <c r="C140" s="5">
        <f>750</f>
        <v>750</v>
      </c>
      <c r="D140" s="5">
        <f t="shared" si="66"/>
        <v>-892.56</v>
      </c>
      <c r="E140" s="6">
        <f t="shared" si="67"/>
        <v>-0.19008</v>
      </c>
      <c r="F140" s="5">
        <f>-38.99</f>
        <v>-38.99</v>
      </c>
      <c r="G140" s="5">
        <f>250</f>
        <v>250</v>
      </c>
      <c r="H140" s="5">
        <f t="shared" si="68"/>
        <v>-288.99</v>
      </c>
      <c r="I140" s="6">
        <f t="shared" si="69"/>
        <v>-0.15596000000000002</v>
      </c>
      <c r="J140" s="4"/>
      <c r="K140" s="5">
        <f>900</f>
        <v>900</v>
      </c>
      <c r="L140" s="5">
        <f t="shared" si="70"/>
        <v>-900</v>
      </c>
      <c r="M140" s="6">
        <f t="shared" si="71"/>
        <v>0</v>
      </c>
      <c r="N140" s="5">
        <f>80.92</f>
        <v>80.92</v>
      </c>
      <c r="O140" s="5">
        <f>0</f>
        <v>0</v>
      </c>
      <c r="P140" s="5">
        <f t="shared" si="72"/>
        <v>80.92</v>
      </c>
      <c r="Q140" s="6" t="str">
        <f t="shared" si="73"/>
        <v/>
      </c>
      <c r="R140" s="4"/>
      <c r="S140" s="5">
        <f>0</f>
        <v>0</v>
      </c>
      <c r="T140" s="5">
        <f t="shared" si="74"/>
        <v>0</v>
      </c>
      <c r="U140" s="6" t="str">
        <f t="shared" si="75"/>
        <v/>
      </c>
      <c r="V140" s="5">
        <f>364.93</f>
        <v>364.93</v>
      </c>
      <c r="W140" s="5">
        <f>0</f>
        <v>0</v>
      </c>
      <c r="X140" s="5">
        <f t="shared" si="76"/>
        <v>364.93</v>
      </c>
      <c r="Y140" s="6" t="str">
        <f t="shared" si="77"/>
        <v/>
      </c>
      <c r="Z140" s="4"/>
      <c r="AA140" s="5">
        <f>0</f>
        <v>0</v>
      </c>
      <c r="AB140" s="5">
        <f t="shared" si="78"/>
        <v>0</v>
      </c>
      <c r="AC140" s="6" t="str">
        <f t="shared" si="79"/>
        <v/>
      </c>
      <c r="AD140" s="4"/>
      <c r="AE140" s="5">
        <f>0</f>
        <v>0</v>
      </c>
      <c r="AF140" s="5">
        <f t="shared" si="80"/>
        <v>0</v>
      </c>
      <c r="AG140" s="6" t="str">
        <f t="shared" si="81"/>
        <v/>
      </c>
      <c r="AH140" s="4"/>
      <c r="AI140" s="5">
        <f>0</f>
        <v>0</v>
      </c>
      <c r="AJ140" s="5">
        <f t="shared" si="82"/>
        <v>0</v>
      </c>
      <c r="AK140" s="6" t="str">
        <f t="shared" si="83"/>
        <v/>
      </c>
      <c r="AL140" s="5">
        <f t="shared" si="84"/>
        <v>264.3</v>
      </c>
      <c r="AM140" s="5">
        <f t="shared" si="85"/>
        <v>1900</v>
      </c>
      <c r="AN140" s="5">
        <f t="shared" si="86"/>
        <v>-1635.7</v>
      </c>
      <c r="AO140" s="6">
        <f t="shared" si="87"/>
        <v>0.13910526315789473</v>
      </c>
    </row>
    <row r="141" spans="1:45" ht="15.75" thickBot="1" x14ac:dyDescent="0.3">
      <c r="A141" s="3" t="s">
        <v>148</v>
      </c>
      <c r="B141" s="5">
        <f>689.04</f>
        <v>689.04</v>
      </c>
      <c r="C141" s="5">
        <f>2200</f>
        <v>2200</v>
      </c>
      <c r="D141" s="5">
        <f t="shared" si="66"/>
        <v>-1510.96</v>
      </c>
      <c r="E141" s="6">
        <f t="shared" si="67"/>
        <v>0.31319999999999998</v>
      </c>
      <c r="F141" s="5">
        <f>750</f>
        <v>750</v>
      </c>
      <c r="G141" s="5">
        <f>1900</f>
        <v>1900</v>
      </c>
      <c r="H141" s="5">
        <f t="shared" si="68"/>
        <v>-1150</v>
      </c>
      <c r="I141" s="6">
        <f t="shared" si="69"/>
        <v>0.39473684210526316</v>
      </c>
      <c r="J141" s="5">
        <f>310</f>
        <v>310</v>
      </c>
      <c r="K141" s="5">
        <f>970</f>
        <v>970</v>
      </c>
      <c r="L141" s="5">
        <f t="shared" si="70"/>
        <v>-660</v>
      </c>
      <c r="M141" s="6">
        <f t="shared" si="71"/>
        <v>0.31958762886597936</v>
      </c>
      <c r="N141" s="5">
        <f>2440</f>
        <v>2440</v>
      </c>
      <c r="O141" s="5">
        <f>0</f>
        <v>0</v>
      </c>
      <c r="P141" s="5">
        <f t="shared" si="72"/>
        <v>2440</v>
      </c>
      <c r="Q141" s="6" t="str">
        <f t="shared" si="73"/>
        <v/>
      </c>
      <c r="R141" s="5">
        <f>756.25</f>
        <v>756.25</v>
      </c>
      <c r="S141" s="5">
        <f>0</f>
        <v>0</v>
      </c>
      <c r="T141" s="5">
        <f t="shared" si="74"/>
        <v>756.25</v>
      </c>
      <c r="U141" s="6" t="str">
        <f t="shared" si="75"/>
        <v/>
      </c>
      <c r="V141" s="4"/>
      <c r="W141" s="5">
        <f>0</f>
        <v>0</v>
      </c>
      <c r="X141" s="5">
        <f t="shared" si="76"/>
        <v>0</v>
      </c>
      <c r="Y141" s="6" t="str">
        <f t="shared" si="77"/>
        <v/>
      </c>
      <c r="Z141" s="4"/>
      <c r="AA141" s="5">
        <f>0</f>
        <v>0</v>
      </c>
      <c r="AB141" s="5">
        <f t="shared" si="78"/>
        <v>0</v>
      </c>
      <c r="AC141" s="6" t="str">
        <f t="shared" si="79"/>
        <v/>
      </c>
      <c r="AD141" s="4"/>
      <c r="AE141" s="5">
        <f>0</f>
        <v>0</v>
      </c>
      <c r="AF141" s="5">
        <f t="shared" si="80"/>
        <v>0</v>
      </c>
      <c r="AG141" s="6" t="str">
        <f t="shared" si="81"/>
        <v/>
      </c>
      <c r="AH141" s="4"/>
      <c r="AI141" s="5">
        <f>0</f>
        <v>0</v>
      </c>
      <c r="AJ141" s="5">
        <f t="shared" si="82"/>
        <v>0</v>
      </c>
      <c r="AK141" s="6" t="str">
        <f t="shared" si="83"/>
        <v/>
      </c>
      <c r="AL141" s="5">
        <f t="shared" si="84"/>
        <v>4945.29</v>
      </c>
      <c r="AM141" s="5">
        <f t="shared" si="85"/>
        <v>5070</v>
      </c>
      <c r="AN141" s="5">
        <f t="shared" si="86"/>
        <v>-124.71000000000004</v>
      </c>
      <c r="AO141" s="6">
        <f t="shared" si="87"/>
        <v>0.97540236686390536</v>
      </c>
    </row>
    <row r="142" spans="1:45" ht="15.75" thickBot="1" x14ac:dyDescent="0.3">
      <c r="A142" s="3" t="s">
        <v>149</v>
      </c>
      <c r="B142" s="4"/>
      <c r="C142" s="5">
        <f>1800</f>
        <v>1800</v>
      </c>
      <c r="D142" s="5">
        <f t="shared" si="66"/>
        <v>-1800</v>
      </c>
      <c r="E142" s="6">
        <f t="shared" si="67"/>
        <v>0</v>
      </c>
      <c r="F142" s="4"/>
      <c r="G142" s="5">
        <f>300</f>
        <v>300</v>
      </c>
      <c r="H142" s="5">
        <f t="shared" si="68"/>
        <v>-300</v>
      </c>
      <c r="I142" s="6">
        <f t="shared" si="69"/>
        <v>0</v>
      </c>
      <c r="J142" s="4"/>
      <c r="K142" s="5">
        <f>350</f>
        <v>350</v>
      </c>
      <c r="L142" s="5">
        <f t="shared" si="70"/>
        <v>-350</v>
      </c>
      <c r="M142" s="6">
        <f t="shared" si="71"/>
        <v>0</v>
      </c>
      <c r="N142" s="5">
        <f>875</f>
        <v>875</v>
      </c>
      <c r="O142" s="5">
        <f>0</f>
        <v>0</v>
      </c>
      <c r="P142" s="5">
        <f t="shared" si="72"/>
        <v>875</v>
      </c>
      <c r="Q142" s="6" t="str">
        <f t="shared" si="73"/>
        <v/>
      </c>
      <c r="R142" s="4"/>
      <c r="S142" s="5">
        <f>0</f>
        <v>0</v>
      </c>
      <c r="T142" s="5">
        <f t="shared" si="74"/>
        <v>0</v>
      </c>
      <c r="U142" s="6" t="str">
        <f t="shared" si="75"/>
        <v/>
      </c>
      <c r="V142" s="4"/>
      <c r="W142" s="5">
        <f>0</f>
        <v>0</v>
      </c>
      <c r="X142" s="5">
        <f t="shared" si="76"/>
        <v>0</v>
      </c>
      <c r="Y142" s="6" t="str">
        <f t="shared" si="77"/>
        <v/>
      </c>
      <c r="Z142" s="4"/>
      <c r="AA142" s="5">
        <f>0</f>
        <v>0</v>
      </c>
      <c r="AB142" s="5">
        <f t="shared" si="78"/>
        <v>0</v>
      </c>
      <c r="AC142" s="6" t="str">
        <f t="shared" si="79"/>
        <v/>
      </c>
      <c r="AD142" s="4"/>
      <c r="AE142" s="5">
        <f>0</f>
        <v>0</v>
      </c>
      <c r="AF142" s="5">
        <f t="shared" si="80"/>
        <v>0</v>
      </c>
      <c r="AG142" s="6" t="str">
        <f t="shared" si="81"/>
        <v/>
      </c>
      <c r="AH142" s="4"/>
      <c r="AI142" s="5">
        <f>0</f>
        <v>0</v>
      </c>
      <c r="AJ142" s="5">
        <f t="shared" si="82"/>
        <v>0</v>
      </c>
      <c r="AK142" s="6" t="str">
        <f t="shared" si="83"/>
        <v/>
      </c>
      <c r="AL142" s="5">
        <f t="shared" si="84"/>
        <v>875</v>
      </c>
      <c r="AM142" s="5">
        <f t="shared" si="85"/>
        <v>2450</v>
      </c>
      <c r="AN142" s="5">
        <f t="shared" si="86"/>
        <v>-1575</v>
      </c>
      <c r="AO142" s="6">
        <f t="shared" si="87"/>
        <v>0.35714285714285715</v>
      </c>
      <c r="AQ142" s="18" t="s">
        <v>10</v>
      </c>
    </row>
    <row r="143" spans="1:45" ht="15.75" thickBot="1" x14ac:dyDescent="0.3">
      <c r="A143" s="3" t="s">
        <v>150</v>
      </c>
      <c r="B143" s="4"/>
      <c r="C143" s="5">
        <f>0</f>
        <v>0</v>
      </c>
      <c r="D143" s="5">
        <f t="shared" si="66"/>
        <v>0</v>
      </c>
      <c r="E143" s="6" t="str">
        <f t="shared" si="67"/>
        <v/>
      </c>
      <c r="F143" s="5">
        <f>2646.37</f>
        <v>2646.37</v>
      </c>
      <c r="G143" s="5">
        <f>7516</f>
        <v>7516</v>
      </c>
      <c r="H143" s="5">
        <f t="shared" si="68"/>
        <v>-4869.63</v>
      </c>
      <c r="I143" s="6">
        <f t="shared" si="69"/>
        <v>0.35209819052687596</v>
      </c>
      <c r="J143" s="5">
        <f>542.95</f>
        <v>542.95000000000005</v>
      </c>
      <c r="K143" s="5">
        <f>0</f>
        <v>0</v>
      </c>
      <c r="L143" s="5">
        <f t="shared" si="70"/>
        <v>542.95000000000005</v>
      </c>
      <c r="M143" s="6" t="str">
        <f t="shared" si="71"/>
        <v/>
      </c>
      <c r="N143" s="4"/>
      <c r="O143" s="5">
        <f>5000</f>
        <v>5000</v>
      </c>
      <c r="P143" s="5">
        <f t="shared" si="72"/>
        <v>-5000</v>
      </c>
      <c r="Q143" s="6">
        <f t="shared" si="73"/>
        <v>0</v>
      </c>
      <c r="R143" s="4"/>
      <c r="S143" s="5">
        <f>5000</f>
        <v>5000</v>
      </c>
      <c r="T143" s="5">
        <f t="shared" si="74"/>
        <v>-5000</v>
      </c>
      <c r="U143" s="6">
        <f t="shared" si="75"/>
        <v>0</v>
      </c>
      <c r="V143" s="4"/>
      <c r="W143" s="5">
        <f>0</f>
        <v>0</v>
      </c>
      <c r="X143" s="5">
        <f t="shared" si="76"/>
        <v>0</v>
      </c>
      <c r="Y143" s="6" t="str">
        <f t="shared" si="77"/>
        <v/>
      </c>
      <c r="Z143" s="4"/>
      <c r="AA143" s="5">
        <f>0</f>
        <v>0</v>
      </c>
      <c r="AB143" s="5">
        <f t="shared" si="78"/>
        <v>0</v>
      </c>
      <c r="AC143" s="6" t="str">
        <f t="shared" si="79"/>
        <v/>
      </c>
      <c r="AD143" s="4"/>
      <c r="AE143" s="5">
        <f>0</f>
        <v>0</v>
      </c>
      <c r="AF143" s="5">
        <f t="shared" si="80"/>
        <v>0</v>
      </c>
      <c r="AG143" s="6" t="str">
        <f t="shared" si="81"/>
        <v/>
      </c>
      <c r="AH143" s="4"/>
      <c r="AI143" s="5">
        <f>0</f>
        <v>0</v>
      </c>
      <c r="AJ143" s="5">
        <f t="shared" si="82"/>
        <v>0</v>
      </c>
      <c r="AK143" s="6" t="str">
        <f t="shared" si="83"/>
        <v/>
      </c>
      <c r="AL143" s="5">
        <f t="shared" si="84"/>
        <v>3189.3199999999997</v>
      </c>
      <c r="AM143" s="5">
        <f t="shared" si="85"/>
        <v>17516</v>
      </c>
      <c r="AN143" s="5">
        <f t="shared" si="86"/>
        <v>-14326.68</v>
      </c>
      <c r="AO143" s="6">
        <f t="shared" si="87"/>
        <v>0.18208038364923496</v>
      </c>
      <c r="AQ143" s="17" t="s">
        <v>161</v>
      </c>
      <c r="AS143" s="18" t="s">
        <v>162</v>
      </c>
    </row>
    <row r="144" spans="1:45" x14ac:dyDescent="0.25">
      <c r="A144" s="3" t="s">
        <v>151</v>
      </c>
      <c r="B144" s="5">
        <f>-2344.47</f>
        <v>-2344.4699999999998</v>
      </c>
      <c r="C144" s="4"/>
      <c r="D144" s="5">
        <f t="shared" si="66"/>
        <v>-2344.4699999999998</v>
      </c>
      <c r="E144" s="6" t="str">
        <f t="shared" si="67"/>
        <v/>
      </c>
      <c r="F144" s="5">
        <f>129.66</f>
        <v>129.66</v>
      </c>
      <c r="G144" s="4"/>
      <c r="H144" s="5">
        <f t="shared" si="68"/>
        <v>129.66</v>
      </c>
      <c r="I144" s="6" t="str">
        <f t="shared" si="69"/>
        <v/>
      </c>
      <c r="J144" s="5">
        <f>2050</f>
        <v>2050</v>
      </c>
      <c r="K144" s="4"/>
      <c r="L144" s="5">
        <f t="shared" si="70"/>
        <v>2050</v>
      </c>
      <c r="M144" s="6" t="str">
        <f t="shared" si="71"/>
        <v/>
      </c>
      <c r="N144" s="5">
        <f>-1650</f>
        <v>-1650</v>
      </c>
      <c r="O144" s="4"/>
      <c r="P144" s="5">
        <f t="shared" si="72"/>
        <v>-1650</v>
      </c>
      <c r="Q144" s="6" t="str">
        <f t="shared" si="73"/>
        <v/>
      </c>
      <c r="R144" s="5">
        <f>-200</f>
        <v>-200</v>
      </c>
      <c r="S144" s="4"/>
      <c r="T144" s="5">
        <f t="shared" si="74"/>
        <v>-200</v>
      </c>
      <c r="U144" s="6" t="str">
        <f t="shared" si="75"/>
        <v/>
      </c>
      <c r="V144" s="5">
        <f>450</f>
        <v>450</v>
      </c>
      <c r="W144" s="4"/>
      <c r="X144" s="5">
        <f t="shared" si="76"/>
        <v>450</v>
      </c>
      <c r="Y144" s="6" t="str">
        <f t="shared" si="77"/>
        <v/>
      </c>
      <c r="Z144" s="4"/>
      <c r="AA144" s="4"/>
      <c r="AB144" s="5">
        <f t="shared" si="78"/>
        <v>0</v>
      </c>
      <c r="AC144" s="6" t="str">
        <f t="shared" si="79"/>
        <v/>
      </c>
      <c r="AD144" s="4"/>
      <c r="AE144" s="4"/>
      <c r="AF144" s="5">
        <f t="shared" si="80"/>
        <v>0</v>
      </c>
      <c r="AG144" s="6" t="str">
        <f t="shared" si="81"/>
        <v/>
      </c>
      <c r="AH144" s="4"/>
      <c r="AI144" s="4"/>
      <c r="AJ144" s="5">
        <f t="shared" si="82"/>
        <v>0</v>
      </c>
      <c r="AK144" s="6" t="str">
        <f t="shared" si="83"/>
        <v/>
      </c>
      <c r="AL144" s="5">
        <f t="shared" si="84"/>
        <v>-1564.81</v>
      </c>
      <c r="AM144" s="5">
        <f t="shared" si="85"/>
        <v>0</v>
      </c>
      <c r="AN144" s="5">
        <f t="shared" si="86"/>
        <v>-1564.81</v>
      </c>
      <c r="AO144" s="6" t="str">
        <f t="shared" si="87"/>
        <v/>
      </c>
      <c r="AQ144" s="14">
        <f>+AL148</f>
        <v>22252.520000000015</v>
      </c>
      <c r="AS144" s="20">
        <f>+AQ147</f>
        <v>-22243.899999999994</v>
      </c>
    </row>
    <row r="145" spans="1:45" ht="17.25" x14ac:dyDescent="0.4">
      <c r="A145" s="3" t="s">
        <v>152</v>
      </c>
      <c r="B145" s="7">
        <f>((((((((((((((((((B126)+(B127))+(B128))+(B129))+(B130))+(B131))+(B132))+(B133))+(B134))+(B135))+(B136))+(B137))+(B138))+(B139))+(B140))+(B141))+(B142))+(B143))+(B144)</f>
        <v>54290.92</v>
      </c>
      <c r="C145" s="7">
        <f>((((((((((((((((((C126)+(C127))+(C128))+(C129))+(C130))+(C131))+(C132))+(C133))+(C134))+(C135))+(C136))+(C137))+(C138))+(C139))+(C140))+(C141))+(C142))+(C143))+(C144)</f>
        <v>71025</v>
      </c>
      <c r="D145" s="7">
        <f t="shared" si="66"/>
        <v>-16734.080000000002</v>
      </c>
      <c r="E145" s="8">
        <f t="shared" si="67"/>
        <v>0.76439169306582189</v>
      </c>
      <c r="F145" s="7">
        <f>((((((((((((((((((F126)+(F127))+(F128))+(F129))+(F130))+(F131))+(F132))+(F133))+(F134))+(F135))+(F136))+(F137))+(F138))+(F139))+(F140))+(F141))+(F142))+(F143))+(F144)</f>
        <v>29853.319999999996</v>
      </c>
      <c r="G145" s="7">
        <f>((((((((((((((((((G126)+(G127))+(G128))+(G129))+(G130))+(G131))+(G132))+(G133))+(G134))+(G135))+(G136))+(G137))+(G138))+(G139))+(G140))+(G141))+(G142))+(G143))+(G144)</f>
        <v>32616</v>
      </c>
      <c r="H145" s="7">
        <f t="shared" si="68"/>
        <v>-2762.6800000000039</v>
      </c>
      <c r="I145" s="8">
        <f t="shared" si="69"/>
        <v>0.91529678685307814</v>
      </c>
      <c r="J145" s="7">
        <f>((((((((((((((((((J126)+(J127))+(J128))+(J129))+(J130))+(J131))+(J132))+(J133))+(J134))+(J135))+(J136))+(J137))+(J138))+(J139))+(J140))+(J141))+(J142))+(J143))+(J144)</f>
        <v>24984.05</v>
      </c>
      <c r="K145" s="7">
        <f>((((((((((((((((((K126)+(K127))+(K128))+(K129))+(K130))+(K131))+(K132))+(K133))+(K134))+(K135))+(K136))+(K137))+(K138))+(K139))+(K140))+(K141))+(K142))+(K143))+(K144)</f>
        <v>43570</v>
      </c>
      <c r="L145" s="7">
        <f t="shared" si="70"/>
        <v>-18585.95</v>
      </c>
      <c r="M145" s="8">
        <f t="shared" si="71"/>
        <v>0.57342322699104886</v>
      </c>
      <c r="N145" s="7">
        <f>((((((((((((((((((N126)+(N127))+(N128))+(N129))+(N130))+(N131))+(N132))+(N133))+(N134))+(N135))+(N136))+(N137))+(N138))+(N139))+(N140))+(N141))+(N142))+(N143))+(N144)</f>
        <v>5936.09</v>
      </c>
      <c r="O145" s="7">
        <f>((((((((((((((((((O126)+(O127))+(O128))+(O129))+(O130))+(O131))+(O132))+(O133))+(O134))+(O135))+(O136))+(O137))+(O138))+(O139))+(O140))+(O141))+(O142))+(O143))+(O144)</f>
        <v>5350</v>
      </c>
      <c r="P145" s="7">
        <f t="shared" si="72"/>
        <v>586.09000000000015</v>
      </c>
      <c r="Q145" s="8">
        <f t="shared" si="73"/>
        <v>1.1095495327102805</v>
      </c>
      <c r="R145" s="7">
        <f>((((((((((((((((((R126)+(R127))+(R128))+(R129))+(R130))+(R131))+(R132))+(R133))+(R134))+(R135))+(R136))+(R137))+(R138))+(R139))+(R140))+(R141))+(R142))+(R143))+(R144)</f>
        <v>9093.7999999999993</v>
      </c>
      <c r="S145" s="7">
        <f>((((((((((((((((((S126)+(S127))+(S128))+(S129))+(S130))+(S131))+(S132))+(S133))+(S134))+(S135))+(S136))+(S137))+(S138))+(S139))+(S140))+(S141))+(S142))+(S143))+(S144)</f>
        <v>5350</v>
      </c>
      <c r="T145" s="7">
        <f t="shared" si="74"/>
        <v>3743.7999999999993</v>
      </c>
      <c r="U145" s="8">
        <f t="shared" si="75"/>
        <v>1.6997757009345793</v>
      </c>
      <c r="V145" s="7">
        <f>((((((((((((((((((V126)+(V127))+(V128))+(V129))+(V130))+(V131))+(V132))+(V133))+(V134))+(V135))+(V136))+(V137))+(V138))+(V139))+(V140))+(V141))+(V142))+(V143))+(V144)</f>
        <v>1182.43</v>
      </c>
      <c r="W145" s="7">
        <f>((((((((((((((((((W126)+(W127))+(W128))+(W129))+(W130))+(W131))+(W132))+(W133))+(W134))+(W135))+(W136))+(W137))+(W138))+(W139))+(W140))+(W141))+(W142))+(W143))+(W144)</f>
        <v>350</v>
      </c>
      <c r="X145" s="7">
        <f t="shared" si="76"/>
        <v>832.43000000000006</v>
      </c>
      <c r="Y145" s="8">
        <f t="shared" si="77"/>
        <v>3.3783714285714286</v>
      </c>
      <c r="Z145" s="7">
        <f>((((((((((((((((((Z126)+(Z127))+(Z128))+(Z129))+(Z130))+(Z131))+(Z132))+(Z133))+(Z134))+(Z135))+(Z136))+(Z137))+(Z138))+(Z139))+(Z140))+(Z141))+(Z142))+(Z143))+(Z144)</f>
        <v>376.25</v>
      </c>
      <c r="AA145" s="7">
        <f>((((((((((((((((((AA126)+(AA127))+(AA128))+(AA129))+(AA130))+(AA131))+(AA132))+(AA133))+(AA134))+(AA135))+(AA136))+(AA137))+(AA138))+(AA139))+(AA140))+(AA141))+(AA142))+(AA143))+(AA144)</f>
        <v>390</v>
      </c>
      <c r="AB145" s="7">
        <f t="shared" si="78"/>
        <v>-13.75</v>
      </c>
      <c r="AC145" s="8">
        <f t="shared" si="79"/>
        <v>0.96474358974358976</v>
      </c>
      <c r="AD145" s="7">
        <f>((((((((((((((((((AD126)+(AD127))+(AD128))+(AD129))+(AD130))+(AD131))+(AD132))+(AD133))+(AD134))+(AD135))+(AD136))+(AD137))+(AD138))+(AD139))+(AD140))+(AD141))+(AD142))+(AD143))+(AD144)</f>
        <v>1774.01</v>
      </c>
      <c r="AE145" s="7">
        <f>((((((((((((((((((AE126)+(AE127))+(AE128))+(AE129))+(AE130))+(AE131))+(AE132))+(AE133))+(AE134))+(AE135))+(AE136))+(AE137))+(AE138))+(AE139))+(AE140))+(AE141))+(AE142))+(AE143))+(AE144)</f>
        <v>390</v>
      </c>
      <c r="AF145" s="7">
        <f t="shared" si="80"/>
        <v>1384.01</v>
      </c>
      <c r="AG145" s="8">
        <f t="shared" si="81"/>
        <v>4.5487435897435899</v>
      </c>
      <c r="AH145" s="7">
        <f>((((((((((((((((((AH126)+(AH127))+(AH128))+(AH129))+(AH130))+(AH131))+(AH132))+(AH133))+(AH134))+(AH135))+(AH136))+(AH137))+(AH138))+(AH139))+(AH140))+(AH141))+(AH142))+(AH143))+(AH144)</f>
        <v>415.78</v>
      </c>
      <c r="AI145" s="7">
        <f>((((((((((((((((((AI126)+(AI127))+(AI128))+(AI129))+(AI130))+(AI131))+(AI132))+(AI133))+(AI134))+(AI135))+(AI136))+(AI137))+(AI138))+(AI139))+(AI140))+(AI141))+(AI142))+(AI143))+(AI144)</f>
        <v>400</v>
      </c>
      <c r="AJ145" s="7">
        <f t="shared" si="82"/>
        <v>15.779999999999973</v>
      </c>
      <c r="AK145" s="8">
        <f t="shared" si="83"/>
        <v>1.03945</v>
      </c>
      <c r="AL145" s="7">
        <f t="shared" si="84"/>
        <v>127906.64999999998</v>
      </c>
      <c r="AM145" s="7">
        <f t="shared" si="85"/>
        <v>159441</v>
      </c>
      <c r="AN145" s="7">
        <f t="shared" si="86"/>
        <v>-31534.35000000002</v>
      </c>
      <c r="AO145" s="8">
        <f t="shared" si="87"/>
        <v>0.80221931623609977</v>
      </c>
      <c r="AQ145" s="14">
        <f>+AL123</f>
        <v>4338.01</v>
      </c>
      <c r="AS145" s="21">
        <f>+AN148</f>
        <v>-71566.479999999981</v>
      </c>
    </row>
    <row r="146" spans="1:45" ht="18" thickBot="1" x14ac:dyDescent="0.45">
      <c r="A146" s="3" t="s">
        <v>153</v>
      </c>
      <c r="B146" s="7">
        <f>(((((((((B55)+(B58))+(B65))+(B80))+(B97))+(B104))+(B107))+(B119))+(B125))+(B145)</f>
        <v>81114.509999999995</v>
      </c>
      <c r="C146" s="7">
        <f>(((((((((C55)+(C58))+(C65))+(C80))+(C97))+(C104))+(C107))+(C119))+(C125))+(C145)</f>
        <v>88694</v>
      </c>
      <c r="D146" s="7">
        <f t="shared" si="66"/>
        <v>-7579.4900000000052</v>
      </c>
      <c r="E146" s="8">
        <f t="shared" si="67"/>
        <v>0.91454337384715989</v>
      </c>
      <c r="F146" s="7">
        <f>(((((((((F55)+(F58))+(F65))+(F80))+(F97))+(F104))+(F107))+(F119))+(F125))+(F145)</f>
        <v>51536.81</v>
      </c>
      <c r="G146" s="7">
        <f>(((((((((G55)+(G58))+(G65))+(G80))+(G97))+(G104))+(G107))+(G119))+(G125))+(G145)</f>
        <v>59260</v>
      </c>
      <c r="H146" s="7">
        <f t="shared" si="68"/>
        <v>-7723.1900000000023</v>
      </c>
      <c r="I146" s="8">
        <f t="shared" si="69"/>
        <v>0.86967279784002693</v>
      </c>
      <c r="J146" s="7">
        <f>(((((((((J55)+(J58))+(J65))+(J80))+(J97))+(J104))+(J107))+(J119))+(J125))+(J145)</f>
        <v>59568.350000000006</v>
      </c>
      <c r="K146" s="7">
        <f>(((((((((K55)+(K58))+(K65))+(K80))+(K97))+(K104))+(K107))+(K119))+(K125))+(K145)</f>
        <v>63189</v>
      </c>
      <c r="L146" s="7">
        <f t="shared" si="70"/>
        <v>-3620.6499999999942</v>
      </c>
      <c r="M146" s="8">
        <f t="shared" si="71"/>
        <v>0.94270126129547871</v>
      </c>
      <c r="N146" s="7">
        <f>(((((((((N55)+(N58))+(N65))+(N80))+(N97))+(N104))+(N107))+(N119))+(N125))+(N145)</f>
        <v>27020.87</v>
      </c>
      <c r="O146" s="7">
        <f>(((((((((O55)+(O58))+(O65))+(O80))+(O97))+(O104))+(O107))+(O119))+(O125))+(O145)</f>
        <v>25427</v>
      </c>
      <c r="P146" s="7">
        <f t="shared" si="72"/>
        <v>1593.869999999999</v>
      </c>
      <c r="Q146" s="8">
        <f t="shared" si="73"/>
        <v>1.0626841546387698</v>
      </c>
      <c r="R146" s="7">
        <f>(((((((((R55)+(R58))+(R65))+(R80))+(R97))+(R104))+(R107))+(R119))+(R125))+(R145)</f>
        <v>36442.770000000004</v>
      </c>
      <c r="S146" s="7">
        <f>(((((((((S55)+(S58))+(S65))+(S80))+(S97))+(S104))+(S107))+(S119))+(S125))+(S145)</f>
        <v>27949</v>
      </c>
      <c r="T146" s="7">
        <f t="shared" si="74"/>
        <v>8493.7700000000041</v>
      </c>
      <c r="U146" s="8">
        <f t="shared" si="75"/>
        <v>1.3039024652044797</v>
      </c>
      <c r="V146" s="7">
        <f>(((((((((V55)+(V58))+(V65))+(V80))+(V97))+(V104))+(V107))+(V119))+(V125))+(V145)</f>
        <v>16371.099999999999</v>
      </c>
      <c r="W146" s="7">
        <f>(((((((((W55)+(W58))+(W65))+(W80))+(W97))+(W104))+(W107))+(W119))+(W125))+(W145)</f>
        <v>18613</v>
      </c>
      <c r="X146" s="7">
        <f t="shared" si="76"/>
        <v>-2241.9000000000015</v>
      </c>
      <c r="Y146" s="8">
        <f t="shared" si="77"/>
        <v>0.87955192607317456</v>
      </c>
      <c r="Z146" s="7">
        <f>(((((((((Z55)+(Z58))+(Z65))+(Z80))+(Z97))+(Z104))+(Z107))+(Z119))+(Z125))+(Z145)</f>
        <v>20510.030000000002</v>
      </c>
      <c r="AA146" s="7">
        <f>(((((((((AA55)+(AA58))+(AA65))+(AA80))+(AA97))+(AA104))+(AA107))+(AA119))+(AA125))+(AA145)</f>
        <v>24263</v>
      </c>
      <c r="AB146" s="7">
        <f t="shared" si="78"/>
        <v>-3752.9699999999975</v>
      </c>
      <c r="AC146" s="8">
        <f t="shared" si="79"/>
        <v>0.84532127107117849</v>
      </c>
      <c r="AD146" s="7">
        <f>(((((((((AD55)+(AD58))+(AD65))+(AD80))+(AD97))+(AD104))+(AD107))+(AD119))+(AD125))+(AD145)</f>
        <v>20656.399999999998</v>
      </c>
      <c r="AE146" s="7">
        <f>(((((((((AE55)+(AE58))+(AE65))+(AE80))+(AE97))+(AE104))+(AE107))+(AE119))+(AE125))+(AE145)</f>
        <v>24013</v>
      </c>
      <c r="AF146" s="7">
        <f t="shared" si="80"/>
        <v>-3356.6000000000022</v>
      </c>
      <c r="AG146" s="8">
        <f t="shared" si="81"/>
        <v>0.86021738225128042</v>
      </c>
      <c r="AH146" s="7">
        <f>(((((((((AH55)+(AH58))+(AH65))+(AH80))+(AH97))+(AH104))+(AH107))+(AH119))+(AH125))+(AH145)</f>
        <v>17823.59</v>
      </c>
      <c r="AI146" s="7">
        <f>(((((((((AI55)+(AI58))+(AI65))+(AI80))+(AI97))+(AI104))+(AI107))+(AI119))+(AI125))+(AI145)</f>
        <v>32073</v>
      </c>
      <c r="AJ146" s="7">
        <f t="shared" si="82"/>
        <v>-14249.41</v>
      </c>
      <c r="AK146" s="8">
        <f t="shared" si="83"/>
        <v>0.55571945249898669</v>
      </c>
      <c r="AL146" s="7">
        <f t="shared" si="84"/>
        <v>331044.43000000005</v>
      </c>
      <c r="AM146" s="7">
        <f t="shared" si="85"/>
        <v>363481</v>
      </c>
      <c r="AN146" s="7">
        <f t="shared" si="86"/>
        <v>-32436.569999999949</v>
      </c>
      <c r="AO146" s="8">
        <f t="shared" si="87"/>
        <v>0.91076130526767574</v>
      </c>
      <c r="AQ146" s="15">
        <f>-AL32-AL35</f>
        <v>-48834.430000000008</v>
      </c>
      <c r="AS146" s="22">
        <f>SUM(AS144:AS145)</f>
        <v>-93810.379999999976</v>
      </c>
    </row>
    <row r="147" spans="1:45" ht="15.75" thickBot="1" x14ac:dyDescent="0.3">
      <c r="A147" s="3" t="s">
        <v>154</v>
      </c>
      <c r="B147" s="7">
        <f>(B50)-(B146)</f>
        <v>64407.810000000012</v>
      </c>
      <c r="C147" s="7">
        <f>(C50)-(C146)</f>
        <v>11306</v>
      </c>
      <c r="D147" s="7">
        <f t="shared" si="66"/>
        <v>53101.810000000012</v>
      </c>
      <c r="E147" s="8">
        <f t="shared" si="67"/>
        <v>5.6967813550327273</v>
      </c>
      <c r="F147" s="7">
        <f>(F50)-(F146)</f>
        <v>-21763.959999999995</v>
      </c>
      <c r="G147" s="7">
        <f>(G50)-(G146)</f>
        <v>13290</v>
      </c>
      <c r="H147" s="7">
        <f t="shared" si="68"/>
        <v>-35053.959999999992</v>
      </c>
      <c r="I147" s="8">
        <f t="shared" si="69"/>
        <v>-1.6376192626034609</v>
      </c>
      <c r="J147" s="7">
        <f>(J50)-(J146)</f>
        <v>-57570.55</v>
      </c>
      <c r="K147" s="7">
        <f>(K50)-(K146)</f>
        <v>33461</v>
      </c>
      <c r="L147" s="7">
        <f t="shared" si="70"/>
        <v>-91031.55</v>
      </c>
      <c r="M147" s="8">
        <f t="shared" si="71"/>
        <v>-1.7205268820417801</v>
      </c>
      <c r="N147" s="7">
        <f>(N50)-(N146)</f>
        <v>11948.439999999999</v>
      </c>
      <c r="O147" s="7">
        <f>(O50)-(O146)</f>
        <v>-10927</v>
      </c>
      <c r="P147" s="7">
        <f t="shared" si="72"/>
        <v>22875.439999999999</v>
      </c>
      <c r="Q147" s="8">
        <f t="shared" si="73"/>
        <v>-1.0934785393978217</v>
      </c>
      <c r="R147" s="7">
        <f>(R50)-(R146)</f>
        <v>11970.729999999996</v>
      </c>
      <c r="S147" s="7">
        <f>(S50)-(S146)</f>
        <v>54151</v>
      </c>
      <c r="T147" s="7">
        <f t="shared" si="74"/>
        <v>-42180.270000000004</v>
      </c>
      <c r="U147" s="8">
        <f t="shared" si="75"/>
        <v>0.22106203024874879</v>
      </c>
      <c r="V147" s="7">
        <f>(V50)-(V146)</f>
        <v>25462.11</v>
      </c>
      <c r="W147" s="7">
        <f>(W50)-(W146)</f>
        <v>10887</v>
      </c>
      <c r="X147" s="7">
        <f t="shared" si="76"/>
        <v>14575.11</v>
      </c>
      <c r="Y147" s="8">
        <f t="shared" si="77"/>
        <v>2.3387627445577293</v>
      </c>
      <c r="Z147" s="7">
        <f>(Z50)-(Z146)</f>
        <v>-8467.9800000000014</v>
      </c>
      <c r="AA147" s="7">
        <f>(AA50)-(AA146)</f>
        <v>9737</v>
      </c>
      <c r="AB147" s="7">
        <f t="shared" si="78"/>
        <v>-18204.980000000003</v>
      </c>
      <c r="AC147" s="8">
        <f t="shared" si="79"/>
        <v>-0.86967032967032987</v>
      </c>
      <c r="AD147" s="7">
        <f>(AD50)-(AD146)</f>
        <v>-15353.919999999998</v>
      </c>
      <c r="AE147" s="7">
        <f>(AE50)-(AE146)</f>
        <v>-15013</v>
      </c>
      <c r="AF147" s="7">
        <f t="shared" si="80"/>
        <v>-340.91999999999825</v>
      </c>
      <c r="AG147" s="8">
        <f t="shared" si="81"/>
        <v>1.022708319456471</v>
      </c>
      <c r="AH147" s="7">
        <f>(AH50)-(AH146)</f>
        <v>11619.84</v>
      </c>
      <c r="AI147" s="7">
        <f>(AI50)-(AI146)</f>
        <v>-13073</v>
      </c>
      <c r="AJ147" s="7">
        <f t="shared" si="82"/>
        <v>24692.84</v>
      </c>
      <c r="AK147" s="8">
        <f t="shared" si="83"/>
        <v>-0.88884265279583874</v>
      </c>
      <c r="AL147" s="7">
        <f t="shared" si="84"/>
        <v>22252.520000000015</v>
      </c>
      <c r="AM147" s="7">
        <f t="shared" si="85"/>
        <v>93819</v>
      </c>
      <c r="AN147" s="7">
        <f t="shared" si="86"/>
        <v>-71566.479999999981</v>
      </c>
      <c r="AO147" s="8">
        <f t="shared" si="87"/>
        <v>0.23718564469883516</v>
      </c>
      <c r="AQ147" s="14">
        <f>SUM(AQ144:AQ146)</f>
        <v>-22243.899999999994</v>
      </c>
    </row>
    <row r="148" spans="1:45" ht="15.75" thickBot="1" x14ac:dyDescent="0.3">
      <c r="A148" s="3" t="s">
        <v>155</v>
      </c>
      <c r="B148" s="9">
        <f>(B147)+(0)</f>
        <v>64407.810000000012</v>
      </c>
      <c r="C148" s="9">
        <f>(C147)+(0)</f>
        <v>11306</v>
      </c>
      <c r="D148" s="9">
        <f t="shared" ref="D148" si="88">(B148)-(C148)</f>
        <v>53101.810000000012</v>
      </c>
      <c r="E148" s="10">
        <f t="shared" si="67"/>
        <v>5.6967813550327273</v>
      </c>
      <c r="F148" s="9">
        <f>(F147)+(0)</f>
        <v>-21763.959999999995</v>
      </c>
      <c r="G148" s="9">
        <f>(G147)+(0)</f>
        <v>13290</v>
      </c>
      <c r="H148" s="9">
        <f t="shared" ref="H148" si="89">(F148)-(G148)</f>
        <v>-35053.959999999992</v>
      </c>
      <c r="I148" s="10">
        <f t="shared" si="69"/>
        <v>-1.6376192626034609</v>
      </c>
      <c r="J148" s="9">
        <f>(J147)+(0)</f>
        <v>-57570.55</v>
      </c>
      <c r="K148" s="9">
        <f>(K147)+(0)</f>
        <v>33461</v>
      </c>
      <c r="L148" s="9">
        <f t="shared" ref="L148" si="90">(J148)-(K148)</f>
        <v>-91031.55</v>
      </c>
      <c r="M148" s="10">
        <f t="shared" si="71"/>
        <v>-1.7205268820417801</v>
      </c>
      <c r="N148" s="9">
        <f>(N147)+(0)</f>
        <v>11948.439999999999</v>
      </c>
      <c r="O148" s="9">
        <f>(O147)+(0)</f>
        <v>-10927</v>
      </c>
      <c r="P148" s="9">
        <f t="shared" ref="P148" si="91">(N148)-(O148)</f>
        <v>22875.439999999999</v>
      </c>
      <c r="Q148" s="10">
        <f t="shared" si="73"/>
        <v>-1.0934785393978217</v>
      </c>
      <c r="R148" s="9">
        <f>(R147)+(0)</f>
        <v>11970.729999999996</v>
      </c>
      <c r="S148" s="9">
        <f>(S147)+(0)</f>
        <v>54151</v>
      </c>
      <c r="T148" s="9">
        <f t="shared" ref="T148" si="92">(R148)-(S148)</f>
        <v>-42180.270000000004</v>
      </c>
      <c r="U148" s="10">
        <f t="shared" si="75"/>
        <v>0.22106203024874879</v>
      </c>
      <c r="V148" s="9">
        <f>(V147)+(0)</f>
        <v>25462.11</v>
      </c>
      <c r="W148" s="9">
        <f>(W147)+(0)</f>
        <v>10887</v>
      </c>
      <c r="X148" s="9">
        <f t="shared" ref="X148" si="93">(V148)-(W148)</f>
        <v>14575.11</v>
      </c>
      <c r="Y148" s="10">
        <f t="shared" si="77"/>
        <v>2.3387627445577293</v>
      </c>
      <c r="Z148" s="9">
        <f>(Z147)+(0)</f>
        <v>-8467.9800000000014</v>
      </c>
      <c r="AA148" s="9">
        <f>(AA147)+(0)</f>
        <v>9737</v>
      </c>
      <c r="AB148" s="9">
        <f t="shared" ref="AB148" si="94">(Z148)-(AA148)</f>
        <v>-18204.980000000003</v>
      </c>
      <c r="AC148" s="10">
        <f t="shared" si="79"/>
        <v>-0.86967032967032987</v>
      </c>
      <c r="AD148" s="9">
        <f>(AD147)+(0)</f>
        <v>-15353.919999999998</v>
      </c>
      <c r="AE148" s="9">
        <f>(AE147)+(0)</f>
        <v>-15013</v>
      </c>
      <c r="AF148" s="9">
        <f t="shared" ref="AF148" si="95">(AD148)-(AE148)</f>
        <v>-340.91999999999825</v>
      </c>
      <c r="AG148" s="10">
        <f t="shared" si="81"/>
        <v>1.022708319456471</v>
      </c>
      <c r="AH148" s="19">
        <f>(AH147)+(0)</f>
        <v>11619.84</v>
      </c>
      <c r="AI148" s="9">
        <f>(AI147)+(0)</f>
        <v>-13073</v>
      </c>
      <c r="AJ148" s="9">
        <f t="shared" ref="AJ148" si="96">(AH148)-(AI148)</f>
        <v>24692.84</v>
      </c>
      <c r="AK148" s="10">
        <f t="shared" si="83"/>
        <v>-0.88884265279583874</v>
      </c>
      <c r="AL148" s="19">
        <f t="shared" si="84"/>
        <v>22252.520000000015</v>
      </c>
      <c r="AM148" s="9">
        <f t="shared" si="85"/>
        <v>93819</v>
      </c>
      <c r="AN148" s="9">
        <f t="shared" ref="AN148" si="97">(AL148)-(AM148)</f>
        <v>-71566.479999999981</v>
      </c>
      <c r="AO148" s="10">
        <f t="shared" si="87"/>
        <v>0.23718564469883516</v>
      </c>
      <c r="AQ148" s="16"/>
    </row>
    <row r="149" spans="1:45" ht="25.5" thickBot="1" x14ac:dyDescent="0.3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11" t="s">
        <v>10</v>
      </c>
      <c r="AI149" s="12" t="s">
        <v>11</v>
      </c>
      <c r="AJ149" s="12" t="s">
        <v>160</v>
      </c>
      <c r="AK149" s="13" t="s">
        <v>13</v>
      </c>
      <c r="AL149" s="11" t="s">
        <v>10</v>
      </c>
      <c r="AM149" s="12" t="s">
        <v>11</v>
      </c>
      <c r="AN149" s="12" t="s">
        <v>160</v>
      </c>
      <c r="AO149" s="4"/>
    </row>
    <row r="152" spans="1:45" x14ac:dyDescent="0.25">
      <c r="A152" s="23" t="s">
        <v>156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</row>
  </sheetData>
  <mergeCells count="14">
    <mergeCell ref="A152:AO152"/>
    <mergeCell ref="A1:AO1"/>
    <mergeCell ref="A2:AO2"/>
    <mergeCell ref="A3:AO3"/>
    <mergeCell ref="V5:Y5"/>
    <mergeCell ref="Z5:AC5"/>
    <mergeCell ref="AD5:AG5"/>
    <mergeCell ref="AH5:AK5"/>
    <mergeCell ref="AL5:AO5"/>
    <mergeCell ref="B5:E5"/>
    <mergeCell ref="F5:I5"/>
    <mergeCell ref="J5:M5"/>
    <mergeCell ref="N5:Q5"/>
    <mergeCell ref="R5:U5"/>
  </mergeCells>
  <pageMargins left="0.7" right="0.7" top="0.75" bottom="0.75" header="0.3" footer="0.3"/>
  <pageSetup scale="87" fitToHeight="0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vs. Actuals</vt:lpstr>
      <vt:lpstr>'Budget vs. Actuals'!Print_Area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Kurt Peck</cp:lastModifiedBy>
  <cp:lastPrinted>2024-04-17T19:25:11Z</cp:lastPrinted>
  <dcterms:created xsi:type="dcterms:W3CDTF">2024-04-17T18:40:43Z</dcterms:created>
  <dcterms:modified xsi:type="dcterms:W3CDTF">2024-04-23T22:24:19Z</dcterms:modified>
</cp:coreProperties>
</file>