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NGER\Documents\SRPF\BOARD MATERIALS\SHIRLEY'S REPORTS\MONTHLY FINANCIALS\"/>
    </mc:Choice>
  </mc:AlternateContent>
  <xr:revisionPtr revIDLastSave="0" documentId="8_{ABC7258C-457F-4BFD-B629-37E45499BAF2}" xr6:coauthVersionLast="47" xr6:coauthVersionMax="47" xr10:uidLastSave="{00000000-0000-0000-0000-000000000000}"/>
  <bookViews>
    <workbookView xWindow="-120" yWindow="600" windowWidth="19440" windowHeight="10440" xr2:uid="{00000000-000D-0000-FFFF-FFFF00000000}"/>
  </bookViews>
  <sheets>
    <sheet name="Profit and Loss by Mont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6" i="1" l="1"/>
  <c r="G125" i="1"/>
  <c r="J125" i="1" s="1"/>
  <c r="F125" i="1"/>
  <c r="E125" i="1"/>
  <c r="D125" i="1"/>
  <c r="C125" i="1"/>
  <c r="B125" i="1"/>
  <c r="D124" i="1"/>
  <c r="C124" i="1"/>
  <c r="J124" i="1" s="1"/>
  <c r="E123" i="1"/>
  <c r="J123" i="1" s="1"/>
  <c r="F122" i="1"/>
  <c r="E122" i="1"/>
  <c r="D122" i="1"/>
  <c r="C122" i="1"/>
  <c r="B122" i="1"/>
  <c r="J122" i="1" s="1"/>
  <c r="G121" i="1"/>
  <c r="E121" i="1"/>
  <c r="C121" i="1"/>
  <c r="B121" i="1"/>
  <c r="J121" i="1" s="1"/>
  <c r="E120" i="1"/>
  <c r="D120" i="1"/>
  <c r="C120" i="1"/>
  <c r="B120" i="1"/>
  <c r="J120" i="1" s="1"/>
  <c r="E119" i="1"/>
  <c r="D119" i="1"/>
  <c r="C119" i="1"/>
  <c r="B119" i="1"/>
  <c r="J119" i="1" s="1"/>
  <c r="J118" i="1"/>
  <c r="I118" i="1"/>
  <c r="D118" i="1"/>
  <c r="C118" i="1"/>
  <c r="B118" i="1"/>
  <c r="F117" i="1"/>
  <c r="C117" i="1"/>
  <c r="J117" i="1" s="1"/>
  <c r="J116" i="1"/>
  <c r="I116" i="1"/>
  <c r="C116" i="1"/>
  <c r="E115" i="1"/>
  <c r="C115" i="1"/>
  <c r="J115" i="1" s="1"/>
  <c r="B115" i="1"/>
  <c r="E114" i="1"/>
  <c r="J114" i="1" s="1"/>
  <c r="D114" i="1"/>
  <c r="F113" i="1"/>
  <c r="E113" i="1"/>
  <c r="D113" i="1"/>
  <c r="C113" i="1"/>
  <c r="B113" i="1"/>
  <c r="J113" i="1" s="1"/>
  <c r="J112" i="1"/>
  <c r="C112" i="1"/>
  <c r="B112" i="1"/>
  <c r="I111" i="1"/>
  <c r="F111" i="1"/>
  <c r="E111" i="1"/>
  <c r="D111" i="1"/>
  <c r="C111" i="1"/>
  <c r="B111" i="1"/>
  <c r="J111" i="1" s="1"/>
  <c r="J110" i="1"/>
  <c r="E110" i="1"/>
  <c r="D110" i="1"/>
  <c r="C110" i="1"/>
  <c r="B110" i="1"/>
  <c r="I109" i="1"/>
  <c r="I126" i="1" s="1"/>
  <c r="H109" i="1"/>
  <c r="G109" i="1"/>
  <c r="G126" i="1" s="1"/>
  <c r="F109" i="1"/>
  <c r="F126" i="1" s="1"/>
  <c r="E109" i="1"/>
  <c r="E126" i="1" s="1"/>
  <c r="D109" i="1"/>
  <c r="D126" i="1" s="1"/>
  <c r="C109" i="1"/>
  <c r="C126" i="1" s="1"/>
  <c r="B109" i="1"/>
  <c r="B126" i="1" s="1"/>
  <c r="J108" i="1"/>
  <c r="I107" i="1"/>
  <c r="C107" i="1"/>
  <c r="J106" i="1"/>
  <c r="G106" i="1"/>
  <c r="G105" i="1"/>
  <c r="F105" i="1"/>
  <c r="E105" i="1"/>
  <c r="D105" i="1"/>
  <c r="C105" i="1"/>
  <c r="B105" i="1"/>
  <c r="J105" i="1" s="1"/>
  <c r="G104" i="1"/>
  <c r="F104" i="1"/>
  <c r="E104" i="1"/>
  <c r="D104" i="1"/>
  <c r="C104" i="1"/>
  <c r="B104" i="1"/>
  <c r="J104" i="1" s="1"/>
  <c r="I103" i="1"/>
  <c r="H103" i="1"/>
  <c r="H107" i="1" s="1"/>
  <c r="G103" i="1"/>
  <c r="G107" i="1" s="1"/>
  <c r="F103" i="1"/>
  <c r="F107" i="1" s="1"/>
  <c r="E103" i="1"/>
  <c r="E107" i="1" s="1"/>
  <c r="D103" i="1"/>
  <c r="D107" i="1" s="1"/>
  <c r="C103" i="1"/>
  <c r="B103" i="1"/>
  <c r="B107" i="1" s="1"/>
  <c r="J107" i="1" s="1"/>
  <c r="J102" i="1"/>
  <c r="F101" i="1"/>
  <c r="I100" i="1"/>
  <c r="H100" i="1"/>
  <c r="G100" i="1"/>
  <c r="G101" i="1" s="1"/>
  <c r="F100" i="1"/>
  <c r="E100" i="1"/>
  <c r="D100" i="1"/>
  <c r="C100" i="1"/>
  <c r="B100" i="1"/>
  <c r="J100" i="1" s="1"/>
  <c r="D99" i="1"/>
  <c r="J99" i="1" s="1"/>
  <c r="J98" i="1"/>
  <c r="I98" i="1"/>
  <c r="H98" i="1"/>
  <c r="G98" i="1"/>
  <c r="F98" i="1"/>
  <c r="E98" i="1"/>
  <c r="C98" i="1"/>
  <c r="B98" i="1"/>
  <c r="J97" i="1"/>
  <c r="I97" i="1"/>
  <c r="H97" i="1"/>
  <c r="G97" i="1"/>
  <c r="F97" i="1"/>
  <c r="E97" i="1"/>
  <c r="E101" i="1" s="1"/>
  <c r="D97" i="1"/>
  <c r="C97" i="1"/>
  <c r="C101" i="1" s="1"/>
  <c r="B97" i="1"/>
  <c r="H96" i="1"/>
  <c r="J96" i="1" s="1"/>
  <c r="J95" i="1"/>
  <c r="D95" i="1"/>
  <c r="C95" i="1"/>
  <c r="B95" i="1"/>
  <c r="H94" i="1"/>
  <c r="H101" i="1" s="1"/>
  <c r="I93" i="1"/>
  <c r="I101" i="1" s="1"/>
  <c r="F93" i="1"/>
  <c r="D93" i="1"/>
  <c r="B93" i="1"/>
  <c r="B101" i="1" s="1"/>
  <c r="J92" i="1"/>
  <c r="I91" i="1"/>
  <c r="G91" i="1"/>
  <c r="B91" i="1"/>
  <c r="J90" i="1"/>
  <c r="F90" i="1"/>
  <c r="E90" i="1"/>
  <c r="I89" i="1"/>
  <c r="H89" i="1"/>
  <c r="G89" i="1"/>
  <c r="F89" i="1"/>
  <c r="E89" i="1"/>
  <c r="D89" i="1"/>
  <c r="C89" i="1"/>
  <c r="C91" i="1" s="1"/>
  <c r="B89" i="1"/>
  <c r="J89" i="1" s="1"/>
  <c r="I88" i="1"/>
  <c r="F88" i="1"/>
  <c r="E88" i="1"/>
  <c r="D88" i="1"/>
  <c r="J88" i="1" s="1"/>
  <c r="C88" i="1"/>
  <c r="I87" i="1"/>
  <c r="H87" i="1"/>
  <c r="H91" i="1" s="1"/>
  <c r="G87" i="1"/>
  <c r="F87" i="1"/>
  <c r="F91" i="1" s="1"/>
  <c r="E87" i="1"/>
  <c r="E91" i="1" s="1"/>
  <c r="D87" i="1"/>
  <c r="D91" i="1" s="1"/>
  <c r="C87" i="1"/>
  <c r="B87" i="1"/>
  <c r="J87" i="1" s="1"/>
  <c r="J86" i="1"/>
  <c r="G85" i="1"/>
  <c r="I84" i="1"/>
  <c r="H84" i="1"/>
  <c r="E84" i="1"/>
  <c r="J84" i="1" s="1"/>
  <c r="B84" i="1"/>
  <c r="J83" i="1"/>
  <c r="G83" i="1"/>
  <c r="C83" i="1"/>
  <c r="G82" i="1"/>
  <c r="F82" i="1"/>
  <c r="E82" i="1"/>
  <c r="J82" i="1" s="1"/>
  <c r="C82" i="1"/>
  <c r="J81" i="1"/>
  <c r="B81" i="1"/>
  <c r="I80" i="1"/>
  <c r="H80" i="1"/>
  <c r="G80" i="1"/>
  <c r="F80" i="1"/>
  <c r="J80" i="1" s="1"/>
  <c r="C80" i="1"/>
  <c r="I79" i="1"/>
  <c r="H79" i="1"/>
  <c r="G79" i="1"/>
  <c r="F79" i="1"/>
  <c r="E79" i="1"/>
  <c r="D79" i="1"/>
  <c r="C79" i="1"/>
  <c r="B79" i="1"/>
  <c r="J79" i="1" s="1"/>
  <c r="I78" i="1"/>
  <c r="H78" i="1"/>
  <c r="F78" i="1"/>
  <c r="E78" i="1"/>
  <c r="D78" i="1"/>
  <c r="J78" i="1" s="1"/>
  <c r="C78" i="1"/>
  <c r="I77" i="1"/>
  <c r="H77" i="1"/>
  <c r="G77" i="1"/>
  <c r="F77" i="1"/>
  <c r="E77" i="1"/>
  <c r="D77" i="1"/>
  <c r="C77" i="1"/>
  <c r="B77" i="1"/>
  <c r="J77" i="1" s="1"/>
  <c r="J76" i="1"/>
  <c r="D76" i="1"/>
  <c r="E75" i="1"/>
  <c r="D75" i="1"/>
  <c r="C75" i="1"/>
  <c r="J75" i="1" s="1"/>
  <c r="I74" i="1"/>
  <c r="H74" i="1"/>
  <c r="G74" i="1"/>
  <c r="F74" i="1"/>
  <c r="E74" i="1"/>
  <c r="D74" i="1"/>
  <c r="C74" i="1"/>
  <c r="J74" i="1" s="1"/>
  <c r="F73" i="1"/>
  <c r="E73" i="1"/>
  <c r="D73" i="1"/>
  <c r="C73" i="1"/>
  <c r="J73" i="1" s="1"/>
  <c r="I72" i="1"/>
  <c r="I85" i="1" s="1"/>
  <c r="H72" i="1"/>
  <c r="H85" i="1" s="1"/>
  <c r="G72" i="1"/>
  <c r="F72" i="1"/>
  <c r="E72" i="1"/>
  <c r="E85" i="1" s="1"/>
  <c r="D72" i="1"/>
  <c r="D85" i="1" s="1"/>
  <c r="C72" i="1"/>
  <c r="C85" i="1" s="1"/>
  <c r="B72" i="1"/>
  <c r="B85" i="1" s="1"/>
  <c r="J71" i="1"/>
  <c r="B70" i="1"/>
  <c r="I69" i="1"/>
  <c r="H69" i="1"/>
  <c r="E69" i="1"/>
  <c r="D69" i="1"/>
  <c r="C69" i="1"/>
  <c r="B69" i="1"/>
  <c r="J69" i="1" s="1"/>
  <c r="J68" i="1"/>
  <c r="I68" i="1"/>
  <c r="D68" i="1"/>
  <c r="J67" i="1"/>
  <c r="I67" i="1"/>
  <c r="D67" i="1"/>
  <c r="G66" i="1"/>
  <c r="J66" i="1" s="1"/>
  <c r="J65" i="1"/>
  <c r="H65" i="1"/>
  <c r="G65" i="1"/>
  <c r="F65" i="1"/>
  <c r="E65" i="1"/>
  <c r="I64" i="1"/>
  <c r="C64" i="1"/>
  <c r="J64" i="1" s="1"/>
  <c r="J63" i="1"/>
  <c r="B63" i="1"/>
  <c r="J62" i="1"/>
  <c r="C62" i="1"/>
  <c r="I61" i="1"/>
  <c r="H61" i="1"/>
  <c r="F61" i="1"/>
  <c r="E61" i="1"/>
  <c r="C61" i="1"/>
  <c r="B61" i="1"/>
  <c r="J61" i="1" s="1"/>
  <c r="J60" i="1"/>
  <c r="H60" i="1"/>
  <c r="I59" i="1"/>
  <c r="I70" i="1" s="1"/>
  <c r="H59" i="1"/>
  <c r="H70" i="1" s="1"/>
  <c r="G59" i="1"/>
  <c r="G70" i="1" s="1"/>
  <c r="F59" i="1"/>
  <c r="F70" i="1" s="1"/>
  <c r="E59" i="1"/>
  <c r="E70" i="1" s="1"/>
  <c r="D59" i="1"/>
  <c r="D70" i="1" s="1"/>
  <c r="C59" i="1"/>
  <c r="B59" i="1"/>
  <c r="J59" i="1" s="1"/>
  <c r="J58" i="1"/>
  <c r="I57" i="1"/>
  <c r="J56" i="1"/>
  <c r="I56" i="1"/>
  <c r="G56" i="1"/>
  <c r="F56" i="1"/>
  <c r="E56" i="1"/>
  <c r="D56" i="1"/>
  <c r="C56" i="1"/>
  <c r="B56" i="1"/>
  <c r="B57" i="1" s="1"/>
  <c r="J55" i="1"/>
  <c r="G55" i="1"/>
  <c r="D55" i="1"/>
  <c r="B55" i="1"/>
  <c r="I54" i="1"/>
  <c r="H54" i="1"/>
  <c r="H57" i="1" s="1"/>
  <c r="G54" i="1"/>
  <c r="G57" i="1" s="1"/>
  <c r="F54" i="1"/>
  <c r="E54" i="1"/>
  <c r="D54" i="1"/>
  <c r="D57" i="1" s="1"/>
  <c r="C54" i="1"/>
  <c r="C57" i="1" s="1"/>
  <c r="B54" i="1"/>
  <c r="J54" i="1" s="1"/>
  <c r="E53" i="1"/>
  <c r="E57" i="1" s="1"/>
  <c r="F52" i="1"/>
  <c r="F57" i="1" s="1"/>
  <c r="J51" i="1"/>
  <c r="I50" i="1"/>
  <c r="D50" i="1"/>
  <c r="B50" i="1"/>
  <c r="J50" i="1" s="1"/>
  <c r="I49" i="1"/>
  <c r="H49" i="1"/>
  <c r="H50" i="1" s="1"/>
  <c r="G49" i="1"/>
  <c r="G50" i="1" s="1"/>
  <c r="F49" i="1"/>
  <c r="F50" i="1" s="1"/>
  <c r="E49" i="1"/>
  <c r="E50" i="1" s="1"/>
  <c r="D49" i="1"/>
  <c r="C49" i="1"/>
  <c r="C50" i="1" s="1"/>
  <c r="B49" i="1"/>
  <c r="J49" i="1" s="1"/>
  <c r="J48" i="1"/>
  <c r="I47" i="1"/>
  <c r="G47" i="1"/>
  <c r="F47" i="1"/>
  <c r="E47" i="1"/>
  <c r="D47" i="1"/>
  <c r="C47" i="1"/>
  <c r="B47" i="1"/>
  <c r="H46" i="1"/>
  <c r="H47" i="1" s="1"/>
  <c r="J45" i="1"/>
  <c r="I41" i="1"/>
  <c r="F41" i="1"/>
  <c r="E41" i="1"/>
  <c r="J40" i="1"/>
  <c r="F40" i="1"/>
  <c r="E40" i="1"/>
  <c r="H39" i="1"/>
  <c r="J39" i="1" s="1"/>
  <c r="E39" i="1"/>
  <c r="D39" i="1"/>
  <c r="C39" i="1"/>
  <c r="B39" i="1"/>
  <c r="B41" i="1" s="1"/>
  <c r="G38" i="1"/>
  <c r="G41" i="1" s="1"/>
  <c r="D38" i="1"/>
  <c r="C38" i="1"/>
  <c r="J38" i="1" s="1"/>
  <c r="B38" i="1"/>
  <c r="E37" i="1"/>
  <c r="D37" i="1"/>
  <c r="D41" i="1" s="1"/>
  <c r="B37" i="1"/>
  <c r="J36" i="1"/>
  <c r="I35" i="1"/>
  <c r="H35" i="1"/>
  <c r="G35" i="1"/>
  <c r="F35" i="1"/>
  <c r="E35" i="1"/>
  <c r="D35" i="1"/>
  <c r="C35" i="1"/>
  <c r="B35" i="1"/>
  <c r="J35" i="1" s="1"/>
  <c r="J34" i="1"/>
  <c r="G34" i="1"/>
  <c r="J33" i="1"/>
  <c r="F32" i="1"/>
  <c r="E32" i="1"/>
  <c r="G31" i="1"/>
  <c r="F31" i="1"/>
  <c r="E31" i="1"/>
  <c r="D31" i="1"/>
  <c r="C31" i="1"/>
  <c r="B31" i="1"/>
  <c r="B32" i="1" s="1"/>
  <c r="G30" i="1"/>
  <c r="F30" i="1"/>
  <c r="E30" i="1"/>
  <c r="D30" i="1"/>
  <c r="C30" i="1"/>
  <c r="J30" i="1" s="1"/>
  <c r="B30" i="1"/>
  <c r="I29" i="1"/>
  <c r="I32" i="1" s="1"/>
  <c r="H29" i="1"/>
  <c r="H32" i="1" s="1"/>
  <c r="G29" i="1"/>
  <c r="F29" i="1"/>
  <c r="E29" i="1"/>
  <c r="J29" i="1" s="1"/>
  <c r="J28" i="1"/>
  <c r="G28" i="1"/>
  <c r="F28" i="1"/>
  <c r="E28" i="1"/>
  <c r="D28" i="1"/>
  <c r="C28" i="1"/>
  <c r="B28" i="1"/>
  <c r="G27" i="1"/>
  <c r="J27" i="1" s="1"/>
  <c r="F27" i="1"/>
  <c r="E27" i="1"/>
  <c r="D27" i="1"/>
  <c r="D32" i="1" s="1"/>
  <c r="C27" i="1"/>
  <c r="B27" i="1"/>
  <c r="J26" i="1"/>
  <c r="I25" i="1"/>
  <c r="G25" i="1"/>
  <c r="F25" i="1"/>
  <c r="C25" i="1"/>
  <c r="B25" i="1"/>
  <c r="J24" i="1"/>
  <c r="F24" i="1"/>
  <c r="I23" i="1"/>
  <c r="H23" i="1"/>
  <c r="H25" i="1" s="1"/>
  <c r="G23" i="1"/>
  <c r="F23" i="1"/>
  <c r="E23" i="1"/>
  <c r="E25" i="1" s="1"/>
  <c r="D23" i="1"/>
  <c r="D25" i="1" s="1"/>
  <c r="D42" i="1" s="1"/>
  <c r="D43" i="1" s="1"/>
  <c r="C23" i="1"/>
  <c r="B23" i="1"/>
  <c r="J23" i="1" s="1"/>
  <c r="J22" i="1"/>
  <c r="H21" i="1"/>
  <c r="G21" i="1"/>
  <c r="F21" i="1"/>
  <c r="D21" i="1"/>
  <c r="C21" i="1"/>
  <c r="B21" i="1"/>
  <c r="F20" i="1"/>
  <c r="E20" i="1"/>
  <c r="J20" i="1" s="1"/>
  <c r="J19" i="1"/>
  <c r="I19" i="1"/>
  <c r="I21" i="1" s="1"/>
  <c r="J18" i="1"/>
  <c r="I17" i="1"/>
  <c r="H17" i="1"/>
  <c r="G17" i="1"/>
  <c r="F17" i="1"/>
  <c r="E17" i="1"/>
  <c r="D17" i="1"/>
  <c r="C17" i="1"/>
  <c r="B17" i="1"/>
  <c r="J17" i="1" s="1"/>
  <c r="J16" i="1"/>
  <c r="B16" i="1"/>
  <c r="J15" i="1"/>
  <c r="I14" i="1"/>
  <c r="H14" i="1"/>
  <c r="G14" i="1"/>
  <c r="F14" i="1"/>
  <c r="E14" i="1"/>
  <c r="D14" i="1"/>
  <c r="B14" i="1"/>
  <c r="J13" i="1"/>
  <c r="E13" i="1"/>
  <c r="C12" i="1"/>
  <c r="C14" i="1" s="1"/>
  <c r="J14" i="1" s="1"/>
  <c r="J11" i="1"/>
  <c r="I10" i="1"/>
  <c r="I42" i="1" s="1"/>
  <c r="I43" i="1" s="1"/>
  <c r="H10" i="1"/>
  <c r="G10" i="1"/>
  <c r="D10" i="1"/>
  <c r="E9" i="1"/>
  <c r="E10" i="1" s="1"/>
  <c r="C9" i="1"/>
  <c r="C10" i="1" s="1"/>
  <c r="H8" i="1"/>
  <c r="G8" i="1"/>
  <c r="F8" i="1"/>
  <c r="F10" i="1" s="1"/>
  <c r="F42" i="1" s="1"/>
  <c r="F43" i="1" s="1"/>
  <c r="D8" i="1"/>
  <c r="C8" i="1"/>
  <c r="B8" i="1"/>
  <c r="B10" i="1" s="1"/>
  <c r="J7" i="1"/>
  <c r="J25" i="1" l="1"/>
  <c r="B127" i="1"/>
  <c r="J91" i="1"/>
  <c r="J21" i="1"/>
  <c r="C127" i="1"/>
  <c r="E127" i="1"/>
  <c r="J126" i="1"/>
  <c r="J70" i="1"/>
  <c r="J101" i="1"/>
  <c r="J57" i="1"/>
  <c r="G127" i="1"/>
  <c r="I127" i="1"/>
  <c r="I128" i="1" s="1"/>
  <c r="I129" i="1" s="1"/>
  <c r="J10" i="1"/>
  <c r="B42" i="1"/>
  <c r="H127" i="1"/>
  <c r="C70" i="1"/>
  <c r="J94" i="1"/>
  <c r="J12" i="1"/>
  <c r="C32" i="1"/>
  <c r="C42" i="1" s="1"/>
  <c r="C43" i="1" s="1"/>
  <c r="C128" i="1" s="1"/>
  <c r="C129" i="1" s="1"/>
  <c r="J37" i="1"/>
  <c r="C41" i="1"/>
  <c r="J41" i="1" s="1"/>
  <c r="D101" i="1"/>
  <c r="D127" i="1" s="1"/>
  <c r="D128" i="1" s="1"/>
  <c r="D129" i="1" s="1"/>
  <c r="J103" i="1"/>
  <c r="J109" i="1"/>
  <c r="J8" i="1"/>
  <c r="E21" i="1"/>
  <c r="E42" i="1" s="1"/>
  <c r="E43" i="1" s="1"/>
  <c r="E128" i="1" s="1"/>
  <c r="E129" i="1" s="1"/>
  <c r="J93" i="1"/>
  <c r="F85" i="1"/>
  <c r="F127" i="1" s="1"/>
  <c r="F128" i="1" s="1"/>
  <c r="F129" i="1" s="1"/>
  <c r="J9" i="1"/>
  <c r="G32" i="1"/>
  <c r="G42" i="1" s="1"/>
  <c r="G43" i="1" s="1"/>
  <c r="G128" i="1" s="1"/>
  <c r="G129" i="1" s="1"/>
  <c r="J46" i="1"/>
  <c r="J72" i="1"/>
  <c r="H41" i="1"/>
  <c r="H42" i="1" s="1"/>
  <c r="H43" i="1" s="1"/>
  <c r="H128" i="1" s="1"/>
  <c r="H129" i="1" s="1"/>
  <c r="J47" i="1"/>
  <c r="J53" i="1"/>
  <c r="J31" i="1"/>
  <c r="J52" i="1"/>
  <c r="J85" i="1" l="1"/>
  <c r="J127" i="1"/>
  <c r="J32" i="1"/>
  <c r="B43" i="1"/>
  <c r="J42" i="1"/>
  <c r="B128" i="1" l="1"/>
  <c r="J43" i="1"/>
  <c r="B129" i="1" l="1"/>
  <c r="J129" i="1" s="1"/>
  <c r="J128" i="1"/>
</calcChain>
</file>

<file path=xl/sharedStrings.xml><?xml version="1.0" encoding="utf-8"?>
<sst xmlns="http://schemas.openxmlformats.org/spreadsheetml/2006/main" count="137" uniqueCount="137">
  <si>
    <t>Jul 2023</t>
  </si>
  <si>
    <t>Aug 2023</t>
  </si>
  <si>
    <t>Sep 2023</t>
  </si>
  <si>
    <t>Oct 2023</t>
  </si>
  <si>
    <t>Nov 2023</t>
  </si>
  <si>
    <t>Dec 2023</t>
  </si>
  <si>
    <t>Jan 2024</t>
  </si>
  <si>
    <t>Feb 2024</t>
  </si>
  <si>
    <t>Total</t>
  </si>
  <si>
    <t>Income</t>
  </si>
  <si>
    <t xml:space="preserve">   4000 Direct contributions</t>
  </si>
  <si>
    <t xml:space="preserve">      4010 Unsolicited contributions</t>
  </si>
  <si>
    <t xml:space="preserve">      4025 This Old House Capital Improvement</t>
  </si>
  <si>
    <t xml:space="preserve">   Total 4000 Direct contributions</t>
  </si>
  <si>
    <t xml:space="preserve">   4200 Non-government grants</t>
  </si>
  <si>
    <t xml:space="preserve">      4210 Corporate/business grants</t>
  </si>
  <si>
    <t xml:space="preserve">      4230 Foundation/trust grants</t>
  </si>
  <si>
    <t xml:space="preserve">   Total 4200 Non-government grants</t>
  </si>
  <si>
    <t xml:space="preserve">   4500 Government grants</t>
  </si>
  <si>
    <t xml:space="preserve">      4520 Federal grants</t>
  </si>
  <si>
    <t xml:space="preserve">   Total 4500 Government grants</t>
  </si>
  <si>
    <t xml:space="preserve">   5100 Program-related sales &amp; fees</t>
  </si>
  <si>
    <t xml:space="preserve">      5105 NERF Forum Educational</t>
  </si>
  <si>
    <t xml:space="preserve">      5110 Family Wildlife Day</t>
  </si>
  <si>
    <t xml:space="preserve">   Total 5100 Program-related sales &amp; fees</t>
  </si>
  <si>
    <t xml:space="preserve">   5200 Dues</t>
  </si>
  <si>
    <t xml:space="preserve">      5210 Membership dues-individuals</t>
  </si>
  <si>
    <t xml:space="preserve">      5220 Dues-Corporate Memberships</t>
  </si>
  <si>
    <t xml:space="preserve">   Total 5200 Dues</t>
  </si>
  <si>
    <t xml:space="preserve">   5300 Investment Income</t>
  </si>
  <si>
    <t xml:space="preserve">      5310 Interest-savings &amp; investments</t>
  </si>
  <si>
    <t xml:space="preserve">      5311 Interest -1083 EllisInvestment</t>
  </si>
  <si>
    <t xml:space="preserve">      5320 Dividends &amp; interest-securities</t>
  </si>
  <si>
    <t xml:space="preserve">      5360 Other investment income</t>
  </si>
  <si>
    <t xml:space="preserve">      5361 Other Investment 1083 Ellis</t>
  </si>
  <si>
    <t xml:space="preserve">   Total 5300 Investment Income</t>
  </si>
  <si>
    <t xml:space="preserve">   5400 Other sources</t>
  </si>
  <si>
    <t xml:space="preserve">      5450 Scholarship revenue</t>
  </si>
  <si>
    <t xml:space="preserve">   Total 5400 Other sources</t>
  </si>
  <si>
    <t xml:space="preserve">   5800 Events</t>
  </si>
  <si>
    <t xml:space="preserve">      5805 Events - Book Signing Event</t>
  </si>
  <si>
    <t xml:space="preserve">      5820 Events - Art show/Concerts</t>
  </si>
  <si>
    <t xml:space="preserve">      5840 Events - CowBoy Julilee</t>
  </si>
  <si>
    <t xml:space="preserve">      5899 Event Other</t>
  </si>
  <si>
    <t xml:space="preserve">   Total 5800 Events</t>
  </si>
  <si>
    <t>Total Income</t>
  </si>
  <si>
    <t>Gross Profit</t>
  </si>
  <si>
    <t>Expenses</t>
  </si>
  <si>
    <t xml:space="preserve">   7000 Grants &amp; direct assistance</t>
  </si>
  <si>
    <t xml:space="preserve">      7040 Awards &amp; grants - individuals</t>
  </si>
  <si>
    <t xml:space="preserve">   Total 7000 Grants &amp; direct assistance</t>
  </si>
  <si>
    <t xml:space="preserve">   7200 Salaries &amp; related expenses</t>
  </si>
  <si>
    <t xml:space="preserve">      7250 Payroll taxes, etc.</t>
  </si>
  <si>
    <t xml:space="preserve">   Total 7200 Salaries &amp; related expenses</t>
  </si>
  <si>
    <t xml:space="preserve">   7500 Contract service expenses</t>
  </si>
  <si>
    <t xml:space="preserve">      7520 Accounting fees</t>
  </si>
  <si>
    <t xml:space="preserve">      7525 Tax Preparation Fee</t>
  </si>
  <si>
    <t xml:space="preserve">      7526 Payroll Tax Preparation</t>
  </si>
  <si>
    <t xml:space="preserve">      7540 Professional fees - other</t>
  </si>
  <si>
    <t xml:space="preserve">      7550 Other Professional- contract</t>
  </si>
  <si>
    <t xml:space="preserve">   Total 7500 Contract service expenses</t>
  </si>
  <si>
    <t xml:space="preserve">   8000 Program related expenses</t>
  </si>
  <si>
    <t xml:space="preserve">      8005 Salaries&amp;Wages - Programs</t>
  </si>
  <si>
    <t xml:space="preserve">      8010 Transportation E/S M/S</t>
  </si>
  <si>
    <t xml:space="preserve">      8020 Climate Change (Habitat)</t>
  </si>
  <si>
    <t xml:space="preserve">      8030 Outreach</t>
  </si>
  <si>
    <t xml:space="preserve">      8035 Small Grants</t>
  </si>
  <si>
    <t xml:space="preserve">      8040 Trout in the classroom</t>
  </si>
  <si>
    <t xml:space="preserve">      8070 Family Wildlife Day</t>
  </si>
  <si>
    <t xml:space="preserve">      8075 Cooking Classes Expense</t>
  </si>
  <si>
    <t xml:space="preserve">      8077 NERF Forum</t>
  </si>
  <si>
    <t xml:space="preserve">      8079 Junior Ranger Program</t>
  </si>
  <si>
    <t xml:space="preserve">      8080 Other-Ambassadors</t>
  </si>
  <si>
    <t xml:space="preserve">   Total 8000 Program related expenses</t>
  </si>
  <si>
    <t xml:space="preserve">   8100 Program suppport  expenses</t>
  </si>
  <si>
    <t xml:space="preserve">      8105 Salaries&amp; Wages-Program Support</t>
  </si>
  <si>
    <t xml:space="preserve">      8110 Supplies</t>
  </si>
  <si>
    <t xml:space="preserve">      8120 Website services</t>
  </si>
  <si>
    <t xml:space="preserve">      8125 Annual Membership Mtg expense</t>
  </si>
  <si>
    <t xml:space="preserve">      8140 Postage &amp; shipping</t>
  </si>
  <si>
    <t xml:space="preserve">      8150 Social Media/Newsletters</t>
  </si>
  <si>
    <t xml:space="preserve">      8170 Printing &amp; copying</t>
  </si>
  <si>
    <t xml:space="preserve">      8171 Member education</t>
  </si>
  <si>
    <t xml:space="preserve">      8180 Volunteer education</t>
  </si>
  <si>
    <t xml:space="preserve">      8181 Donor education</t>
  </si>
  <si>
    <t xml:space="preserve">      8190 Exec. Dir. mileage expense</t>
  </si>
  <si>
    <t xml:space="preserve">      8191 Chamber of Commerce expense</t>
  </si>
  <si>
    <t xml:space="preserve">      8195 Other expense</t>
  </si>
  <si>
    <t xml:space="preserve">   Total 8100 Program suppport  expenses</t>
  </si>
  <si>
    <t xml:space="preserve">   8200 Administrative expenses</t>
  </si>
  <si>
    <t xml:space="preserve">      8205 Salaries&amp;Wages-Administration</t>
  </si>
  <si>
    <t xml:space="preserve">      8221 Utilities</t>
  </si>
  <si>
    <t xml:space="preserve">      8225 Telephone expense</t>
  </si>
  <si>
    <t xml:space="preserve">      8260 Equipment rental &amp; maintenance</t>
  </si>
  <si>
    <t xml:space="preserve">   Total 8200 Administrative expenses</t>
  </si>
  <si>
    <t xml:space="preserve">   8500 Administrative Other expenses</t>
  </si>
  <si>
    <t xml:space="preserve">      8515 Insurance - General Liab &amp; D&amp;O</t>
  </si>
  <si>
    <t xml:space="preserve">      8520 Insurance - Workers Comp</t>
  </si>
  <si>
    <t xml:space="preserve">      8530 Membership - organization</t>
  </si>
  <si>
    <t xml:space="preserve">      8540 Strategic plan development</t>
  </si>
  <si>
    <t xml:space="preserve">      8560 Outside computer services</t>
  </si>
  <si>
    <t xml:space="preserve">      8565 Office supplies</t>
  </si>
  <si>
    <t xml:space="preserve">      8570 Advertising expenses</t>
  </si>
  <si>
    <t xml:space="preserve">      8590 Other expenses</t>
  </si>
  <si>
    <t xml:space="preserve">   Total 8500 Administrative Other expenses</t>
  </si>
  <si>
    <t xml:space="preserve">   8600 Administrative Bus    expenses</t>
  </si>
  <si>
    <t xml:space="preserve">      8610 Bank fee-credit card</t>
  </si>
  <si>
    <t xml:space="preserve">      8611 Service Fee-Investments</t>
  </si>
  <si>
    <t xml:space="preserve">      8612 Service Fee-Invest 1083 Ellis</t>
  </si>
  <si>
    <t xml:space="preserve">      8650 Taxes - other</t>
  </si>
  <si>
    <t xml:space="preserve">   Total 8600 Administrative Bus    expenses</t>
  </si>
  <si>
    <t xml:space="preserve">   8700 Fund Raising Event expenses</t>
  </si>
  <si>
    <t xml:space="preserve">      8705 Salaries &amp; Wages - Fund Raising</t>
  </si>
  <si>
    <t xml:space="preserve">      8710 Supplies expense</t>
  </si>
  <si>
    <t xml:space="preserve">      8720 Rental expense</t>
  </si>
  <si>
    <t xml:space="preserve">      8721 Concert transportation</t>
  </si>
  <si>
    <t xml:space="preserve">      8730 Food</t>
  </si>
  <si>
    <t xml:space="preserve">      8740 Drinks</t>
  </si>
  <si>
    <t xml:space="preserve">      8745 Marketing</t>
  </si>
  <si>
    <t xml:space="preserve">      8750 Printing</t>
  </si>
  <si>
    <t xml:space="preserve">      8755 Advertising</t>
  </si>
  <si>
    <t xml:space="preserve">      8760 Signage</t>
  </si>
  <si>
    <t xml:space="preserve">      8780 Entertainment</t>
  </si>
  <si>
    <t xml:space="preserve">      8784 Logistics</t>
  </si>
  <si>
    <t xml:space="preserve">      8785 Merchant Fees</t>
  </si>
  <si>
    <t xml:space="preserve">      8790 Other</t>
  </si>
  <si>
    <t xml:space="preserve">      8791 Other - Salaries &amp; Wages</t>
  </si>
  <si>
    <t xml:space="preserve">      8792 TOH - Pop up dinner/Kodi Concert</t>
  </si>
  <si>
    <t xml:space="preserve">      8799 Miscellaneous-In/Out</t>
  </si>
  <si>
    <t xml:space="preserve">   Total 8700 Fund Raising Event expenses</t>
  </si>
  <si>
    <t>Total Expenses</t>
  </si>
  <si>
    <t>Net Operating Income</t>
  </si>
  <si>
    <t>Net Income</t>
  </si>
  <si>
    <t>Tuesday, Mar 19, 2024 01:34:31 PM GMT-7 - Cash Basis</t>
  </si>
  <si>
    <t>Santa Rosa Plateau Foundation</t>
  </si>
  <si>
    <t>Profit and Loss by Month</t>
  </si>
  <si>
    <t>July 2023 -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</si>
</sst>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3"/>
  <sheetViews>
    <sheetView tabSelected="1" workbookViewId="0">
      <selection sqref="A1:J1"/>
    </sheetView>
  </sheetViews>
  <sheetFormatPr defaultRowHeight="15" x14ac:dyDescent="0.25"/>
  <cols>
    <col min="1" max="1" width="39.5703125" customWidth="1"/>
    <col min="2" max="2" width="10.28515625" customWidth="1"/>
    <col min="3" max="4" width="11.140625" customWidth="1"/>
    <col min="5" max="7" width="9.42578125" customWidth="1"/>
    <col min="8" max="8" width="10.28515625" customWidth="1"/>
    <col min="9" max="9" width="11.140625" customWidth="1"/>
    <col min="10" max="10" width="10.28515625" customWidth="1"/>
  </cols>
  <sheetData>
    <row r="1" spans="1:10" ht="18" x14ac:dyDescent="0.25">
      <c r="A1" s="10" t="s">
        <v>134</v>
      </c>
      <c r="B1" s="9"/>
      <c r="C1" s="9"/>
      <c r="D1" s="9"/>
      <c r="E1" s="9"/>
      <c r="F1" s="9"/>
      <c r="G1" s="9"/>
      <c r="H1" s="9"/>
      <c r="I1" s="9"/>
      <c r="J1" s="9"/>
    </row>
    <row r="2" spans="1:10" ht="18" x14ac:dyDescent="0.25">
      <c r="A2" s="10" t="s">
        <v>135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11" t="s">
        <v>136</v>
      </c>
      <c r="B3" s="9"/>
      <c r="C3" s="9"/>
      <c r="D3" s="9"/>
      <c r="E3" s="9"/>
      <c r="F3" s="9"/>
      <c r="G3" s="9"/>
      <c r="H3" s="9"/>
      <c r="I3" s="9"/>
      <c r="J3" s="9"/>
    </row>
    <row r="5" spans="1:10" x14ac:dyDescent="0.25">
      <c r="A5" s="1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</row>
    <row r="6" spans="1:10" x14ac:dyDescent="0.25">
      <c r="A6" s="3" t="s">
        <v>9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25">
      <c r="A7" s="3" t="s">
        <v>10</v>
      </c>
      <c r="B7" s="4"/>
      <c r="C7" s="4"/>
      <c r="D7" s="4"/>
      <c r="E7" s="4"/>
      <c r="F7" s="4"/>
      <c r="G7" s="4"/>
      <c r="H7" s="4"/>
      <c r="I7" s="4"/>
      <c r="J7" s="5">
        <f t="shared" ref="J7:J43" si="0">(((((((B7)+(C7))+(D7))+(E7))+(F7))+(G7))+(H7))+(I7)</f>
        <v>0</v>
      </c>
    </row>
    <row r="8" spans="1:10" x14ac:dyDescent="0.25">
      <c r="A8" s="3" t="s">
        <v>11</v>
      </c>
      <c r="B8" s="5">
        <f>3302.98</f>
        <v>3302.98</v>
      </c>
      <c r="C8" s="5">
        <f>350</f>
        <v>350</v>
      </c>
      <c r="D8" s="5">
        <f>1350</f>
        <v>1350</v>
      </c>
      <c r="E8" s="4"/>
      <c r="F8" s="5">
        <f>257.6</f>
        <v>257.60000000000002</v>
      </c>
      <c r="G8" s="5">
        <f>3749.24</f>
        <v>3749.24</v>
      </c>
      <c r="H8" s="5">
        <f>5183.36</f>
        <v>5183.3599999999997</v>
      </c>
      <c r="I8" s="4"/>
      <c r="J8" s="5">
        <f t="shared" si="0"/>
        <v>14193.18</v>
      </c>
    </row>
    <row r="9" spans="1:10" x14ac:dyDescent="0.25">
      <c r="A9" s="3" t="s">
        <v>12</v>
      </c>
      <c r="B9" s="4"/>
      <c r="C9" s="5">
        <f>5120</f>
        <v>5120</v>
      </c>
      <c r="D9" s="4"/>
      <c r="E9" s="5">
        <f>1000</f>
        <v>1000</v>
      </c>
      <c r="F9" s="4"/>
      <c r="G9" s="4"/>
      <c r="H9" s="4"/>
      <c r="I9" s="4"/>
      <c r="J9" s="5">
        <f t="shared" si="0"/>
        <v>6120</v>
      </c>
    </row>
    <row r="10" spans="1:10" x14ac:dyDescent="0.25">
      <c r="A10" s="3" t="s">
        <v>13</v>
      </c>
      <c r="B10" s="6">
        <f t="shared" ref="B10:I10" si="1">((B7)+(B8))+(B9)</f>
        <v>3302.98</v>
      </c>
      <c r="C10" s="6">
        <f t="shared" si="1"/>
        <v>5470</v>
      </c>
      <c r="D10" s="6">
        <f t="shared" si="1"/>
        <v>1350</v>
      </c>
      <c r="E10" s="6">
        <f t="shared" si="1"/>
        <v>1000</v>
      </c>
      <c r="F10" s="6">
        <f t="shared" si="1"/>
        <v>257.60000000000002</v>
      </c>
      <c r="G10" s="6">
        <f t="shared" si="1"/>
        <v>3749.24</v>
      </c>
      <c r="H10" s="6">
        <f t="shared" si="1"/>
        <v>5183.3599999999997</v>
      </c>
      <c r="I10" s="6">
        <f t="shared" si="1"/>
        <v>0</v>
      </c>
      <c r="J10" s="6">
        <f t="shared" si="0"/>
        <v>20313.18</v>
      </c>
    </row>
    <row r="11" spans="1:10" x14ac:dyDescent="0.25">
      <c r="A11" s="3" t="s">
        <v>14</v>
      </c>
      <c r="B11" s="4"/>
      <c r="C11" s="4"/>
      <c r="D11" s="4"/>
      <c r="E11" s="4"/>
      <c r="F11" s="4"/>
      <c r="G11" s="4"/>
      <c r="H11" s="4"/>
      <c r="I11" s="4"/>
      <c r="J11" s="5">
        <f t="shared" si="0"/>
        <v>0</v>
      </c>
    </row>
    <row r="12" spans="1:10" x14ac:dyDescent="0.25">
      <c r="A12" s="3" t="s">
        <v>15</v>
      </c>
      <c r="B12" s="4"/>
      <c r="C12" s="5">
        <f>5000</f>
        <v>5000</v>
      </c>
      <c r="D12" s="4"/>
      <c r="E12" s="4"/>
      <c r="F12" s="4"/>
      <c r="G12" s="4"/>
      <c r="H12" s="4"/>
      <c r="I12" s="4"/>
      <c r="J12" s="5">
        <f t="shared" si="0"/>
        <v>5000</v>
      </c>
    </row>
    <row r="13" spans="1:10" x14ac:dyDescent="0.25">
      <c r="A13" s="3" t="s">
        <v>16</v>
      </c>
      <c r="B13" s="4"/>
      <c r="C13" s="4"/>
      <c r="D13" s="4"/>
      <c r="E13" s="5">
        <f>15000</f>
        <v>15000</v>
      </c>
      <c r="F13" s="4"/>
      <c r="G13" s="4"/>
      <c r="H13" s="4"/>
      <c r="I13" s="4"/>
      <c r="J13" s="5">
        <f t="shared" si="0"/>
        <v>15000</v>
      </c>
    </row>
    <row r="14" spans="1:10" x14ac:dyDescent="0.25">
      <c r="A14" s="3" t="s">
        <v>17</v>
      </c>
      <c r="B14" s="6">
        <f t="shared" ref="B14:I14" si="2">((B11)+(B12))+(B13)</f>
        <v>0</v>
      </c>
      <c r="C14" s="6">
        <f t="shared" si="2"/>
        <v>5000</v>
      </c>
      <c r="D14" s="6">
        <f t="shared" si="2"/>
        <v>0</v>
      </c>
      <c r="E14" s="6">
        <f t="shared" si="2"/>
        <v>15000</v>
      </c>
      <c r="F14" s="6">
        <f t="shared" si="2"/>
        <v>0</v>
      </c>
      <c r="G14" s="6">
        <f t="shared" si="2"/>
        <v>0</v>
      </c>
      <c r="H14" s="6">
        <f t="shared" si="2"/>
        <v>0</v>
      </c>
      <c r="I14" s="6">
        <f t="shared" si="2"/>
        <v>0</v>
      </c>
      <c r="J14" s="6">
        <f t="shared" si="0"/>
        <v>20000</v>
      </c>
    </row>
    <row r="15" spans="1:10" x14ac:dyDescent="0.25">
      <c r="A15" s="3" t="s">
        <v>18</v>
      </c>
      <c r="B15" s="4"/>
      <c r="C15" s="4"/>
      <c r="D15" s="4"/>
      <c r="E15" s="4"/>
      <c r="F15" s="4"/>
      <c r="G15" s="4"/>
      <c r="H15" s="4"/>
      <c r="I15" s="4"/>
      <c r="J15" s="5">
        <f t="shared" si="0"/>
        <v>0</v>
      </c>
    </row>
    <row r="16" spans="1:10" x14ac:dyDescent="0.25">
      <c r="A16" s="3" t="s">
        <v>19</v>
      </c>
      <c r="B16" s="5">
        <f>65738.22</f>
        <v>65738.22</v>
      </c>
      <c r="C16" s="4"/>
      <c r="D16" s="4"/>
      <c r="E16" s="4"/>
      <c r="F16" s="4"/>
      <c r="G16" s="4"/>
      <c r="H16" s="4"/>
      <c r="I16" s="4"/>
      <c r="J16" s="5">
        <f t="shared" si="0"/>
        <v>65738.22</v>
      </c>
    </row>
    <row r="17" spans="1:10" x14ac:dyDescent="0.25">
      <c r="A17" s="3" t="s">
        <v>20</v>
      </c>
      <c r="B17" s="6">
        <f t="shared" ref="B17:I17" si="3">(B15)+(B16)</f>
        <v>65738.22</v>
      </c>
      <c r="C17" s="6">
        <f t="shared" si="3"/>
        <v>0</v>
      </c>
      <c r="D17" s="6">
        <f t="shared" si="3"/>
        <v>0</v>
      </c>
      <c r="E17" s="6">
        <f t="shared" si="3"/>
        <v>0</v>
      </c>
      <c r="F17" s="6">
        <f t="shared" si="3"/>
        <v>0</v>
      </c>
      <c r="G17" s="6">
        <f t="shared" si="3"/>
        <v>0</v>
      </c>
      <c r="H17" s="6">
        <f t="shared" si="3"/>
        <v>0</v>
      </c>
      <c r="I17" s="6">
        <f t="shared" si="3"/>
        <v>0</v>
      </c>
      <c r="J17" s="6">
        <f t="shared" si="0"/>
        <v>65738.22</v>
      </c>
    </row>
    <row r="18" spans="1:10" x14ac:dyDescent="0.25">
      <c r="A18" s="3" t="s">
        <v>21</v>
      </c>
      <c r="B18" s="4"/>
      <c r="C18" s="4"/>
      <c r="D18" s="4"/>
      <c r="E18" s="4"/>
      <c r="F18" s="4"/>
      <c r="G18" s="4"/>
      <c r="H18" s="4"/>
      <c r="I18" s="4"/>
      <c r="J18" s="5">
        <f t="shared" si="0"/>
        <v>0</v>
      </c>
    </row>
    <row r="19" spans="1:10" x14ac:dyDescent="0.25">
      <c r="A19" s="3" t="s">
        <v>22</v>
      </c>
      <c r="B19" s="4"/>
      <c r="C19" s="4"/>
      <c r="D19" s="4"/>
      <c r="E19" s="4"/>
      <c r="F19" s="4"/>
      <c r="G19" s="4"/>
      <c r="H19" s="4"/>
      <c r="I19" s="5">
        <f>581.01</f>
        <v>581.01</v>
      </c>
      <c r="J19" s="5">
        <f t="shared" si="0"/>
        <v>581.01</v>
      </c>
    </row>
    <row r="20" spans="1:10" x14ac:dyDescent="0.25">
      <c r="A20" s="3" t="s">
        <v>23</v>
      </c>
      <c r="B20" s="4"/>
      <c r="C20" s="4"/>
      <c r="D20" s="4"/>
      <c r="E20" s="5">
        <f>627.39</f>
        <v>627.39</v>
      </c>
      <c r="F20" s="5">
        <f>2098.61</f>
        <v>2098.61</v>
      </c>
      <c r="G20" s="4"/>
      <c r="H20" s="4"/>
      <c r="I20" s="4"/>
      <c r="J20" s="5">
        <f t="shared" si="0"/>
        <v>2726</v>
      </c>
    </row>
    <row r="21" spans="1:10" x14ac:dyDescent="0.25">
      <c r="A21" s="3" t="s">
        <v>24</v>
      </c>
      <c r="B21" s="6">
        <f t="shared" ref="B21:I21" si="4">((B18)+(B19))+(B20)</f>
        <v>0</v>
      </c>
      <c r="C21" s="6">
        <f t="shared" si="4"/>
        <v>0</v>
      </c>
      <c r="D21" s="6">
        <f t="shared" si="4"/>
        <v>0</v>
      </c>
      <c r="E21" s="6">
        <f t="shared" si="4"/>
        <v>627.39</v>
      </c>
      <c r="F21" s="6">
        <f t="shared" si="4"/>
        <v>2098.61</v>
      </c>
      <c r="G21" s="6">
        <f t="shared" si="4"/>
        <v>0</v>
      </c>
      <c r="H21" s="6">
        <f t="shared" si="4"/>
        <v>0</v>
      </c>
      <c r="I21" s="6">
        <f t="shared" si="4"/>
        <v>581.01</v>
      </c>
      <c r="J21" s="6">
        <f t="shared" si="0"/>
        <v>3307.01</v>
      </c>
    </row>
    <row r="22" spans="1:10" x14ac:dyDescent="0.25">
      <c r="A22" s="3" t="s">
        <v>25</v>
      </c>
      <c r="B22" s="4"/>
      <c r="C22" s="4"/>
      <c r="D22" s="4"/>
      <c r="E22" s="4"/>
      <c r="F22" s="4"/>
      <c r="G22" s="4"/>
      <c r="H22" s="4"/>
      <c r="I22" s="4"/>
      <c r="J22" s="5">
        <f t="shared" si="0"/>
        <v>0</v>
      </c>
    </row>
    <row r="23" spans="1:10" x14ac:dyDescent="0.25">
      <c r="A23" s="3" t="s">
        <v>26</v>
      </c>
      <c r="B23" s="5">
        <f>4380</f>
        <v>4380</v>
      </c>
      <c r="C23" s="5">
        <f>1975</f>
        <v>1975</v>
      </c>
      <c r="D23" s="5">
        <f>3315</f>
        <v>3315</v>
      </c>
      <c r="E23" s="5">
        <f>3300</f>
        <v>3300</v>
      </c>
      <c r="F23" s="5">
        <f>3745</f>
        <v>3745</v>
      </c>
      <c r="G23" s="5">
        <f>6375</f>
        <v>6375</v>
      </c>
      <c r="H23" s="5">
        <f>6990</f>
        <v>6990</v>
      </c>
      <c r="I23" s="5">
        <f>4718</f>
        <v>4718</v>
      </c>
      <c r="J23" s="5">
        <f t="shared" si="0"/>
        <v>34798</v>
      </c>
    </row>
    <row r="24" spans="1:10" x14ac:dyDescent="0.25">
      <c r="A24" s="3" t="s">
        <v>27</v>
      </c>
      <c r="B24" s="4"/>
      <c r="C24" s="4"/>
      <c r="D24" s="4"/>
      <c r="E24" s="4"/>
      <c r="F24" s="5">
        <f>2000</f>
        <v>2000</v>
      </c>
      <c r="G24" s="4"/>
      <c r="H24" s="4"/>
      <c r="I24" s="4"/>
      <c r="J24" s="5">
        <f t="shared" si="0"/>
        <v>2000</v>
      </c>
    </row>
    <row r="25" spans="1:10" x14ac:dyDescent="0.25">
      <c r="A25" s="3" t="s">
        <v>28</v>
      </c>
      <c r="B25" s="6">
        <f t="shared" ref="B25:I25" si="5">((B22)+(B23))+(B24)</f>
        <v>4380</v>
      </c>
      <c r="C25" s="6">
        <f t="shared" si="5"/>
        <v>1975</v>
      </c>
      <c r="D25" s="6">
        <f t="shared" si="5"/>
        <v>3315</v>
      </c>
      <c r="E25" s="6">
        <f t="shared" si="5"/>
        <v>3300</v>
      </c>
      <c r="F25" s="6">
        <f t="shared" si="5"/>
        <v>5745</v>
      </c>
      <c r="G25" s="6">
        <f t="shared" si="5"/>
        <v>6375</v>
      </c>
      <c r="H25" s="6">
        <f t="shared" si="5"/>
        <v>6990</v>
      </c>
      <c r="I25" s="6">
        <f t="shared" si="5"/>
        <v>4718</v>
      </c>
      <c r="J25" s="6">
        <f t="shared" si="0"/>
        <v>36798</v>
      </c>
    </row>
    <row r="26" spans="1:10" x14ac:dyDescent="0.25">
      <c r="A26" s="3" t="s">
        <v>29</v>
      </c>
      <c r="B26" s="4"/>
      <c r="C26" s="4"/>
      <c r="D26" s="4"/>
      <c r="E26" s="4"/>
      <c r="F26" s="4"/>
      <c r="G26" s="4"/>
      <c r="H26" s="4"/>
      <c r="I26" s="4"/>
      <c r="J26" s="5">
        <f t="shared" si="0"/>
        <v>0</v>
      </c>
    </row>
    <row r="27" spans="1:10" x14ac:dyDescent="0.25">
      <c r="A27" s="3" t="s">
        <v>30</v>
      </c>
      <c r="B27" s="5">
        <f>49.02</f>
        <v>49.02</v>
      </c>
      <c r="C27" s="5">
        <f>18.14</f>
        <v>18.14</v>
      </c>
      <c r="D27" s="5">
        <f>84.18</f>
        <v>84.18</v>
      </c>
      <c r="E27" s="5">
        <f>31.94</f>
        <v>31.94</v>
      </c>
      <c r="F27" s="5">
        <f>14.68</f>
        <v>14.68</v>
      </c>
      <c r="G27" s="5">
        <f>227.7</f>
        <v>227.7</v>
      </c>
      <c r="H27" s="4"/>
      <c r="I27" s="4"/>
      <c r="J27" s="5">
        <f t="shared" si="0"/>
        <v>425.65999999999997</v>
      </c>
    </row>
    <row r="28" spans="1:10" x14ac:dyDescent="0.25">
      <c r="A28" s="3" t="s">
        <v>31</v>
      </c>
      <c r="B28" s="5">
        <f>604.47</f>
        <v>604.47</v>
      </c>
      <c r="C28" s="5">
        <f>264.11</f>
        <v>264.11</v>
      </c>
      <c r="D28" s="5">
        <f>1551.95</f>
        <v>1551.95</v>
      </c>
      <c r="E28" s="5">
        <f>609.7</f>
        <v>609.70000000000005</v>
      </c>
      <c r="F28" s="5">
        <f>280.07</f>
        <v>280.07</v>
      </c>
      <c r="G28" s="5">
        <f>4525.5</f>
        <v>4525.5</v>
      </c>
      <c r="H28" s="4"/>
      <c r="I28" s="4"/>
      <c r="J28" s="5">
        <f t="shared" si="0"/>
        <v>7835.8000000000011</v>
      </c>
    </row>
    <row r="29" spans="1:10" x14ac:dyDescent="0.25">
      <c r="A29" s="3" t="s">
        <v>32</v>
      </c>
      <c r="B29" s="4"/>
      <c r="C29" s="4"/>
      <c r="D29" s="4"/>
      <c r="E29" s="5">
        <f>2.48</f>
        <v>2.48</v>
      </c>
      <c r="F29" s="5">
        <f>1.33</f>
        <v>1.33</v>
      </c>
      <c r="G29" s="5">
        <f>3.35</f>
        <v>3.35</v>
      </c>
      <c r="H29" s="5">
        <f>4.28</f>
        <v>4.28</v>
      </c>
      <c r="I29" s="5">
        <f>3.47</f>
        <v>3.47</v>
      </c>
      <c r="J29" s="5">
        <f t="shared" si="0"/>
        <v>14.910000000000002</v>
      </c>
    </row>
    <row r="30" spans="1:10" x14ac:dyDescent="0.25">
      <c r="A30" s="3" t="s">
        <v>33</v>
      </c>
      <c r="B30" s="5">
        <f>803.18</f>
        <v>803.18</v>
      </c>
      <c r="C30" s="5">
        <f>-592.32</f>
        <v>-592.32000000000005</v>
      </c>
      <c r="D30" s="5">
        <f>-1105.37</f>
        <v>-1105.3699999999999</v>
      </c>
      <c r="E30" s="5">
        <f>-686.27</f>
        <v>-686.27</v>
      </c>
      <c r="F30" s="5">
        <f>1935.84</f>
        <v>1935.84</v>
      </c>
      <c r="G30" s="5">
        <f>1112.99</f>
        <v>1112.99</v>
      </c>
      <c r="H30" s="4"/>
      <c r="I30" s="4"/>
      <c r="J30" s="5">
        <f t="shared" si="0"/>
        <v>1468.05</v>
      </c>
    </row>
    <row r="31" spans="1:10" x14ac:dyDescent="0.25">
      <c r="A31" s="3" t="s">
        <v>34</v>
      </c>
      <c r="B31" s="5">
        <f>15327.63</f>
        <v>15327.63</v>
      </c>
      <c r="C31" s="5">
        <f>-11302.59</f>
        <v>-11302.59</v>
      </c>
      <c r="D31" s="5">
        <f>-21093.93</f>
        <v>-21093.93</v>
      </c>
      <c r="E31" s="5">
        <f>-13096.88</f>
        <v>-13096.88</v>
      </c>
      <c r="F31" s="5">
        <f>36942.68</f>
        <v>36942.68</v>
      </c>
      <c r="G31" s="5">
        <f>21239.43</f>
        <v>21239.43</v>
      </c>
      <c r="H31" s="4"/>
      <c r="I31" s="4"/>
      <c r="J31" s="5">
        <f t="shared" si="0"/>
        <v>28016.340000000004</v>
      </c>
    </row>
    <row r="32" spans="1:10" x14ac:dyDescent="0.25">
      <c r="A32" s="3" t="s">
        <v>35</v>
      </c>
      <c r="B32" s="6">
        <f t="shared" ref="B32:I32" si="6">(((((B26)+(B27))+(B28))+(B29))+(B30))+(B31)</f>
        <v>16784.3</v>
      </c>
      <c r="C32" s="6">
        <f t="shared" si="6"/>
        <v>-11612.66</v>
      </c>
      <c r="D32" s="6">
        <f t="shared" si="6"/>
        <v>-20563.169999999998</v>
      </c>
      <c r="E32" s="6">
        <f t="shared" si="6"/>
        <v>-13139.029999999999</v>
      </c>
      <c r="F32" s="6">
        <f t="shared" si="6"/>
        <v>39174.6</v>
      </c>
      <c r="G32" s="6">
        <f t="shared" si="6"/>
        <v>27108.97</v>
      </c>
      <c r="H32" s="6">
        <f t="shared" si="6"/>
        <v>4.28</v>
      </c>
      <c r="I32" s="6">
        <f t="shared" si="6"/>
        <v>3.47</v>
      </c>
      <c r="J32" s="6">
        <f t="shared" si="0"/>
        <v>37760.76</v>
      </c>
    </row>
    <row r="33" spans="1:10" x14ac:dyDescent="0.25">
      <c r="A33" s="3" t="s">
        <v>36</v>
      </c>
      <c r="B33" s="4"/>
      <c r="C33" s="4"/>
      <c r="D33" s="4"/>
      <c r="E33" s="4"/>
      <c r="F33" s="4"/>
      <c r="G33" s="4"/>
      <c r="H33" s="4"/>
      <c r="I33" s="4"/>
      <c r="J33" s="5">
        <f t="shared" si="0"/>
        <v>0</v>
      </c>
    </row>
    <row r="34" spans="1:10" x14ac:dyDescent="0.25">
      <c r="A34" s="3" t="s">
        <v>37</v>
      </c>
      <c r="B34" s="4"/>
      <c r="C34" s="4"/>
      <c r="D34" s="4"/>
      <c r="E34" s="4"/>
      <c r="F34" s="4"/>
      <c r="G34" s="5">
        <f>2100</f>
        <v>2100</v>
      </c>
      <c r="H34" s="4"/>
      <c r="I34" s="4"/>
      <c r="J34" s="5">
        <f t="shared" si="0"/>
        <v>2100</v>
      </c>
    </row>
    <row r="35" spans="1:10" x14ac:dyDescent="0.25">
      <c r="A35" s="3" t="s">
        <v>38</v>
      </c>
      <c r="B35" s="6">
        <f t="shared" ref="B35:I35" si="7">(B33)+(B34)</f>
        <v>0</v>
      </c>
      <c r="C35" s="6">
        <f t="shared" si="7"/>
        <v>0</v>
      </c>
      <c r="D35" s="6">
        <f t="shared" si="7"/>
        <v>0</v>
      </c>
      <c r="E35" s="6">
        <f t="shared" si="7"/>
        <v>0</v>
      </c>
      <c r="F35" s="6">
        <f t="shared" si="7"/>
        <v>0</v>
      </c>
      <c r="G35" s="6">
        <f t="shared" si="7"/>
        <v>2100</v>
      </c>
      <c r="H35" s="6">
        <f t="shared" si="7"/>
        <v>0</v>
      </c>
      <c r="I35" s="6">
        <f t="shared" si="7"/>
        <v>0</v>
      </c>
      <c r="J35" s="6">
        <f t="shared" si="0"/>
        <v>2100</v>
      </c>
    </row>
    <row r="36" spans="1:10" x14ac:dyDescent="0.25">
      <c r="A36" s="3" t="s">
        <v>39</v>
      </c>
      <c r="B36" s="4"/>
      <c r="C36" s="4"/>
      <c r="D36" s="4"/>
      <c r="E36" s="4"/>
      <c r="F36" s="4"/>
      <c r="G36" s="4"/>
      <c r="H36" s="4"/>
      <c r="I36" s="4"/>
      <c r="J36" s="5">
        <f t="shared" si="0"/>
        <v>0</v>
      </c>
    </row>
    <row r="37" spans="1:10" x14ac:dyDescent="0.25">
      <c r="A37" s="3" t="s">
        <v>40</v>
      </c>
      <c r="B37" s="5">
        <f>0.79</f>
        <v>0.79</v>
      </c>
      <c r="C37" s="4"/>
      <c r="D37" s="5">
        <f>1919.87</f>
        <v>1919.87</v>
      </c>
      <c r="E37" s="5">
        <f>2310.84</f>
        <v>2310.84</v>
      </c>
      <c r="F37" s="4"/>
      <c r="G37" s="4"/>
      <c r="H37" s="4"/>
      <c r="I37" s="4"/>
      <c r="J37" s="5">
        <f t="shared" si="0"/>
        <v>4231.5</v>
      </c>
    </row>
    <row r="38" spans="1:10" x14ac:dyDescent="0.25">
      <c r="A38" s="3" t="s">
        <v>41</v>
      </c>
      <c r="B38" s="5">
        <f>53141.85</f>
        <v>53141.85</v>
      </c>
      <c r="C38" s="5">
        <f>26167.08</f>
        <v>26167.08</v>
      </c>
      <c r="D38" s="5">
        <f>6625</f>
        <v>6625</v>
      </c>
      <c r="E38" s="4"/>
      <c r="F38" s="4"/>
      <c r="G38" s="5">
        <f>2500</f>
        <v>2500</v>
      </c>
      <c r="H38" s="4"/>
      <c r="I38" s="4"/>
      <c r="J38" s="5">
        <f t="shared" si="0"/>
        <v>88433.93</v>
      </c>
    </row>
    <row r="39" spans="1:10" x14ac:dyDescent="0.25">
      <c r="A39" s="3" t="s">
        <v>42</v>
      </c>
      <c r="B39" s="5">
        <f>2174.18</f>
        <v>2174.1799999999998</v>
      </c>
      <c r="C39" s="5">
        <f>2773.43</f>
        <v>2773.43</v>
      </c>
      <c r="D39" s="5">
        <f>9351.1</f>
        <v>9351.1</v>
      </c>
      <c r="E39" s="5">
        <f>29597.79</f>
        <v>29597.79</v>
      </c>
      <c r="F39" s="4"/>
      <c r="G39" s="4"/>
      <c r="H39" s="5">
        <f>-135.59</f>
        <v>-135.59</v>
      </c>
      <c r="I39" s="4"/>
      <c r="J39" s="5">
        <f t="shared" si="0"/>
        <v>43760.91</v>
      </c>
    </row>
    <row r="40" spans="1:10" x14ac:dyDescent="0.25">
      <c r="A40" s="3" t="s">
        <v>43</v>
      </c>
      <c r="B40" s="4"/>
      <c r="C40" s="4"/>
      <c r="D40" s="4"/>
      <c r="E40" s="5">
        <f>272.32</f>
        <v>272.32</v>
      </c>
      <c r="F40" s="5">
        <f>1137.69</f>
        <v>1137.69</v>
      </c>
      <c r="G40" s="4"/>
      <c r="H40" s="4"/>
      <c r="I40" s="4"/>
      <c r="J40" s="5">
        <f t="shared" si="0"/>
        <v>1410.01</v>
      </c>
    </row>
    <row r="41" spans="1:10" x14ac:dyDescent="0.25">
      <c r="A41" s="3" t="s">
        <v>44</v>
      </c>
      <c r="B41" s="6">
        <f t="shared" ref="B41:I41" si="8">((((B36)+(B37))+(B38))+(B39))+(B40)</f>
        <v>55316.82</v>
      </c>
      <c r="C41" s="6">
        <f t="shared" si="8"/>
        <v>28940.510000000002</v>
      </c>
      <c r="D41" s="6">
        <f t="shared" si="8"/>
        <v>17895.97</v>
      </c>
      <c r="E41" s="6">
        <f t="shared" si="8"/>
        <v>32180.95</v>
      </c>
      <c r="F41" s="6">
        <f t="shared" si="8"/>
        <v>1137.69</v>
      </c>
      <c r="G41" s="6">
        <f t="shared" si="8"/>
        <v>2500</v>
      </c>
      <c r="H41" s="6">
        <f t="shared" si="8"/>
        <v>-135.59</v>
      </c>
      <c r="I41" s="6">
        <f t="shared" si="8"/>
        <v>0</v>
      </c>
      <c r="J41" s="6">
        <f t="shared" si="0"/>
        <v>137836.35</v>
      </c>
    </row>
    <row r="42" spans="1:10" x14ac:dyDescent="0.25">
      <c r="A42" s="3" t="s">
        <v>45</v>
      </c>
      <c r="B42" s="6">
        <f t="shared" ref="B42:I42" si="9">(((((((B10)+(B14))+(B17))+(B21))+(B25))+(B32))+(B35))+(B41)</f>
        <v>145522.32</v>
      </c>
      <c r="C42" s="6">
        <f t="shared" si="9"/>
        <v>29772.850000000002</v>
      </c>
      <c r="D42" s="6">
        <f t="shared" si="9"/>
        <v>1997.8000000000029</v>
      </c>
      <c r="E42" s="6">
        <f t="shared" si="9"/>
        <v>38969.31</v>
      </c>
      <c r="F42" s="6">
        <f t="shared" si="9"/>
        <v>48413.5</v>
      </c>
      <c r="G42" s="6">
        <f t="shared" si="9"/>
        <v>41833.21</v>
      </c>
      <c r="H42" s="6">
        <f t="shared" si="9"/>
        <v>12042.050000000001</v>
      </c>
      <c r="I42" s="6">
        <f t="shared" si="9"/>
        <v>5302.4800000000005</v>
      </c>
      <c r="J42" s="6">
        <f t="shared" si="0"/>
        <v>323853.52</v>
      </c>
    </row>
    <row r="43" spans="1:10" x14ac:dyDescent="0.25">
      <c r="A43" s="3" t="s">
        <v>46</v>
      </c>
      <c r="B43" s="6">
        <f t="shared" ref="B43:I43" si="10">(B42)-(0)</f>
        <v>145522.32</v>
      </c>
      <c r="C43" s="6">
        <f t="shared" si="10"/>
        <v>29772.850000000002</v>
      </c>
      <c r="D43" s="6">
        <f t="shared" si="10"/>
        <v>1997.8000000000029</v>
      </c>
      <c r="E43" s="6">
        <f t="shared" si="10"/>
        <v>38969.31</v>
      </c>
      <c r="F43" s="6">
        <f t="shared" si="10"/>
        <v>48413.5</v>
      </c>
      <c r="G43" s="6">
        <f t="shared" si="10"/>
        <v>41833.21</v>
      </c>
      <c r="H43" s="6">
        <f t="shared" si="10"/>
        <v>12042.050000000001</v>
      </c>
      <c r="I43" s="6">
        <f t="shared" si="10"/>
        <v>5302.4800000000005</v>
      </c>
      <c r="J43" s="6">
        <f t="shared" si="0"/>
        <v>323853.52</v>
      </c>
    </row>
    <row r="44" spans="1:10" x14ac:dyDescent="0.25">
      <c r="A44" s="3" t="s">
        <v>47</v>
      </c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3" t="s">
        <v>48</v>
      </c>
      <c r="B45" s="4"/>
      <c r="C45" s="4"/>
      <c r="D45" s="4"/>
      <c r="E45" s="4"/>
      <c r="F45" s="4"/>
      <c r="G45" s="4"/>
      <c r="H45" s="4"/>
      <c r="I45" s="4"/>
      <c r="J45" s="5">
        <f t="shared" ref="J45:J76" si="11">(((((((B45)+(C45))+(D45))+(E45))+(F45))+(G45))+(H45))+(I45)</f>
        <v>0</v>
      </c>
    </row>
    <row r="46" spans="1:10" x14ac:dyDescent="0.25">
      <c r="A46" s="3" t="s">
        <v>49</v>
      </c>
      <c r="B46" s="4"/>
      <c r="C46" s="4"/>
      <c r="D46" s="4"/>
      <c r="E46" s="4"/>
      <c r="F46" s="4"/>
      <c r="G46" s="4"/>
      <c r="H46" s="5">
        <f>99</f>
        <v>99</v>
      </c>
      <c r="I46" s="4"/>
      <c r="J46" s="5">
        <f t="shared" si="11"/>
        <v>99</v>
      </c>
    </row>
    <row r="47" spans="1:10" x14ac:dyDescent="0.25">
      <c r="A47" s="3" t="s">
        <v>50</v>
      </c>
      <c r="B47" s="6">
        <f t="shared" ref="B47:I47" si="12">(B45)+(B46)</f>
        <v>0</v>
      </c>
      <c r="C47" s="6">
        <f t="shared" si="12"/>
        <v>0</v>
      </c>
      <c r="D47" s="6">
        <f t="shared" si="12"/>
        <v>0</v>
      </c>
      <c r="E47" s="6">
        <f t="shared" si="12"/>
        <v>0</v>
      </c>
      <c r="F47" s="6">
        <f t="shared" si="12"/>
        <v>0</v>
      </c>
      <c r="G47" s="6">
        <f t="shared" si="12"/>
        <v>0</v>
      </c>
      <c r="H47" s="6">
        <f t="shared" si="12"/>
        <v>99</v>
      </c>
      <c r="I47" s="6">
        <f t="shared" si="12"/>
        <v>0</v>
      </c>
      <c r="J47" s="6">
        <f t="shared" si="11"/>
        <v>99</v>
      </c>
    </row>
    <row r="48" spans="1:10" x14ac:dyDescent="0.25">
      <c r="A48" s="3" t="s">
        <v>51</v>
      </c>
      <c r="B48" s="4"/>
      <c r="C48" s="4"/>
      <c r="D48" s="4"/>
      <c r="E48" s="4"/>
      <c r="F48" s="4"/>
      <c r="G48" s="4"/>
      <c r="H48" s="4"/>
      <c r="I48" s="4"/>
      <c r="J48" s="5">
        <f t="shared" si="11"/>
        <v>0</v>
      </c>
    </row>
    <row r="49" spans="1:10" x14ac:dyDescent="0.25">
      <c r="A49" s="3" t="s">
        <v>52</v>
      </c>
      <c r="B49" s="5">
        <f>827.47</f>
        <v>827.47</v>
      </c>
      <c r="C49" s="5">
        <f>918.77</f>
        <v>918.77</v>
      </c>
      <c r="D49" s="5">
        <f>912.64</f>
        <v>912.64</v>
      </c>
      <c r="E49" s="5">
        <f>926.73</f>
        <v>926.73</v>
      </c>
      <c r="F49" s="5">
        <f>952.8</f>
        <v>952.8</v>
      </c>
      <c r="G49" s="5">
        <f>982.82</f>
        <v>982.82</v>
      </c>
      <c r="H49" s="5">
        <f>1044.59</f>
        <v>1044.5899999999999</v>
      </c>
      <c r="I49" s="5">
        <f>1024.55</f>
        <v>1024.55</v>
      </c>
      <c r="J49" s="5">
        <f t="shared" si="11"/>
        <v>7590.37</v>
      </c>
    </row>
    <row r="50" spans="1:10" x14ac:dyDescent="0.25">
      <c r="A50" s="3" t="s">
        <v>53</v>
      </c>
      <c r="B50" s="6">
        <f t="shared" ref="B50:I50" si="13">(B48)+(B49)</f>
        <v>827.47</v>
      </c>
      <c r="C50" s="6">
        <f t="shared" si="13"/>
        <v>918.77</v>
      </c>
      <c r="D50" s="6">
        <f t="shared" si="13"/>
        <v>912.64</v>
      </c>
      <c r="E50" s="6">
        <f t="shared" si="13"/>
        <v>926.73</v>
      </c>
      <c r="F50" s="6">
        <f t="shared" si="13"/>
        <v>952.8</v>
      </c>
      <c r="G50" s="6">
        <f t="shared" si="13"/>
        <v>982.82</v>
      </c>
      <c r="H50" s="6">
        <f t="shared" si="13"/>
        <v>1044.5899999999999</v>
      </c>
      <c r="I50" s="6">
        <f t="shared" si="13"/>
        <v>1024.55</v>
      </c>
      <c r="J50" s="6">
        <f t="shared" si="11"/>
        <v>7590.37</v>
      </c>
    </row>
    <row r="51" spans="1:10" x14ac:dyDescent="0.25">
      <c r="A51" s="3" t="s">
        <v>54</v>
      </c>
      <c r="B51" s="4"/>
      <c r="C51" s="4"/>
      <c r="D51" s="4"/>
      <c r="E51" s="4"/>
      <c r="F51" s="4"/>
      <c r="G51" s="4"/>
      <c r="H51" s="4"/>
      <c r="I51" s="4"/>
      <c r="J51" s="5">
        <f t="shared" si="11"/>
        <v>0</v>
      </c>
    </row>
    <row r="52" spans="1:10" x14ac:dyDescent="0.25">
      <c r="A52" s="3" t="s">
        <v>55</v>
      </c>
      <c r="B52" s="4"/>
      <c r="C52" s="4"/>
      <c r="D52" s="4"/>
      <c r="E52" s="4"/>
      <c r="F52" s="5">
        <f>700</f>
        <v>700</v>
      </c>
      <c r="G52" s="4"/>
      <c r="H52" s="4"/>
      <c r="I52" s="4"/>
      <c r="J52" s="5">
        <f t="shared" si="11"/>
        <v>700</v>
      </c>
    </row>
    <row r="53" spans="1:10" x14ac:dyDescent="0.25">
      <c r="A53" s="3" t="s">
        <v>56</v>
      </c>
      <c r="B53" s="4"/>
      <c r="C53" s="4"/>
      <c r="D53" s="4"/>
      <c r="E53" s="5">
        <f>1650</f>
        <v>1650</v>
      </c>
      <c r="F53" s="4"/>
      <c r="G53" s="4"/>
      <c r="H53" s="4"/>
      <c r="I53" s="4"/>
      <c r="J53" s="5">
        <f t="shared" si="11"/>
        <v>1650</v>
      </c>
    </row>
    <row r="54" spans="1:10" x14ac:dyDescent="0.25">
      <c r="A54" s="3" t="s">
        <v>57</v>
      </c>
      <c r="B54" s="5">
        <f>160</f>
        <v>160</v>
      </c>
      <c r="C54" s="5">
        <f>185</f>
        <v>185</v>
      </c>
      <c r="D54" s="5">
        <f>200</f>
        <v>200</v>
      </c>
      <c r="E54" s="5">
        <f>210</f>
        <v>210</v>
      </c>
      <c r="F54" s="5">
        <f>175</f>
        <v>175</v>
      </c>
      <c r="G54" s="5">
        <f>217</f>
        <v>217</v>
      </c>
      <c r="H54" s="5">
        <f>271</f>
        <v>271</v>
      </c>
      <c r="I54" s="5">
        <f>241.5</f>
        <v>241.5</v>
      </c>
      <c r="J54" s="5">
        <f t="shared" si="11"/>
        <v>1659.5</v>
      </c>
    </row>
    <row r="55" spans="1:10" x14ac:dyDescent="0.25">
      <c r="A55" s="3" t="s">
        <v>58</v>
      </c>
      <c r="B55" s="5">
        <f>208.07</f>
        <v>208.07</v>
      </c>
      <c r="C55" s="4"/>
      <c r="D55" s="5">
        <f>17176.45</f>
        <v>17176.45</v>
      </c>
      <c r="E55" s="4"/>
      <c r="F55" s="4"/>
      <c r="G55" s="5">
        <f>267.5</f>
        <v>267.5</v>
      </c>
      <c r="H55" s="4"/>
      <c r="I55" s="4"/>
      <c r="J55" s="5">
        <f t="shared" si="11"/>
        <v>17652.02</v>
      </c>
    </row>
    <row r="56" spans="1:10" x14ac:dyDescent="0.25">
      <c r="A56" s="3" t="s">
        <v>59</v>
      </c>
      <c r="B56" s="5">
        <f>630</f>
        <v>630</v>
      </c>
      <c r="C56" s="5">
        <f>600</f>
        <v>600</v>
      </c>
      <c r="D56" s="5">
        <f>600</f>
        <v>600</v>
      </c>
      <c r="E56" s="5">
        <f>600</f>
        <v>600</v>
      </c>
      <c r="F56" s="5">
        <f>600</f>
        <v>600</v>
      </c>
      <c r="G56" s="5">
        <f>600</f>
        <v>600</v>
      </c>
      <c r="H56" s="4"/>
      <c r="I56" s="5">
        <f>1280</f>
        <v>1280</v>
      </c>
      <c r="J56" s="5">
        <f t="shared" si="11"/>
        <v>4910</v>
      </c>
    </row>
    <row r="57" spans="1:10" x14ac:dyDescent="0.25">
      <c r="A57" s="3" t="s">
        <v>60</v>
      </c>
      <c r="B57" s="6">
        <f t="shared" ref="B57:I57" si="14">(((((B51)+(B52))+(B53))+(B54))+(B55))+(B56)</f>
        <v>998.06999999999994</v>
      </c>
      <c r="C57" s="6">
        <f t="shared" si="14"/>
        <v>785</v>
      </c>
      <c r="D57" s="6">
        <f t="shared" si="14"/>
        <v>17976.45</v>
      </c>
      <c r="E57" s="6">
        <f t="shared" si="14"/>
        <v>2460</v>
      </c>
      <c r="F57" s="6">
        <f t="shared" si="14"/>
        <v>1475</v>
      </c>
      <c r="G57" s="6">
        <f t="shared" si="14"/>
        <v>1084.5</v>
      </c>
      <c r="H57" s="6">
        <f t="shared" si="14"/>
        <v>271</v>
      </c>
      <c r="I57" s="6">
        <f t="shared" si="14"/>
        <v>1521.5</v>
      </c>
      <c r="J57" s="6">
        <f t="shared" si="11"/>
        <v>26571.52</v>
      </c>
    </row>
    <row r="58" spans="1:10" x14ac:dyDescent="0.25">
      <c r="A58" s="3" t="s">
        <v>61</v>
      </c>
      <c r="B58" s="4"/>
      <c r="C58" s="4"/>
      <c r="D58" s="4"/>
      <c r="E58" s="4"/>
      <c r="F58" s="4"/>
      <c r="G58" s="4"/>
      <c r="H58" s="4"/>
      <c r="I58" s="4"/>
      <c r="J58" s="5">
        <f t="shared" si="11"/>
        <v>0</v>
      </c>
    </row>
    <row r="59" spans="1:10" x14ac:dyDescent="0.25">
      <c r="A59" s="3" t="s">
        <v>62</v>
      </c>
      <c r="B59" s="5">
        <f>4195.37</f>
        <v>4195.37</v>
      </c>
      <c r="C59" s="5">
        <f>4515</f>
        <v>4515</v>
      </c>
      <c r="D59" s="5">
        <f>4515</f>
        <v>4515</v>
      </c>
      <c r="E59" s="5">
        <f>4515</f>
        <v>4515</v>
      </c>
      <c r="F59" s="5">
        <f>4515</f>
        <v>4515</v>
      </c>
      <c r="G59" s="5">
        <f>4515</f>
        <v>4515</v>
      </c>
      <c r="H59" s="5">
        <f>4622.5</f>
        <v>4622.5</v>
      </c>
      <c r="I59" s="5">
        <f>4770.14</f>
        <v>4770.1400000000003</v>
      </c>
      <c r="J59" s="5">
        <f t="shared" si="11"/>
        <v>36163.01</v>
      </c>
    </row>
    <row r="60" spans="1:10" x14ac:dyDescent="0.25">
      <c r="A60" s="3" t="s">
        <v>63</v>
      </c>
      <c r="B60" s="4"/>
      <c r="C60" s="4"/>
      <c r="D60" s="4"/>
      <c r="E60" s="4"/>
      <c r="F60" s="4"/>
      <c r="G60" s="4"/>
      <c r="H60" s="5">
        <f>419.16</f>
        <v>419.16</v>
      </c>
      <c r="I60" s="4"/>
      <c r="J60" s="5">
        <f t="shared" si="11"/>
        <v>419.16</v>
      </c>
    </row>
    <row r="61" spans="1:10" x14ac:dyDescent="0.25">
      <c r="A61" s="3" t="s">
        <v>64</v>
      </c>
      <c r="B61" s="5">
        <f>3103</f>
        <v>3103</v>
      </c>
      <c r="C61" s="5">
        <f>1350</f>
        <v>1350</v>
      </c>
      <c r="D61" s="4"/>
      <c r="E61" s="5">
        <f>1147.57</f>
        <v>1147.57</v>
      </c>
      <c r="F61" s="5">
        <f>67.9</f>
        <v>67.900000000000006</v>
      </c>
      <c r="G61" s="4"/>
      <c r="H61" s="5">
        <f>820.3</f>
        <v>820.3</v>
      </c>
      <c r="I61" s="5">
        <f>562.5</f>
        <v>562.5</v>
      </c>
      <c r="J61" s="5">
        <f t="shared" si="11"/>
        <v>7051.2699999999995</v>
      </c>
    </row>
    <row r="62" spans="1:10" x14ac:dyDescent="0.25">
      <c r="A62" s="3" t="s">
        <v>65</v>
      </c>
      <c r="B62" s="4"/>
      <c r="C62" s="5">
        <f>300</f>
        <v>300</v>
      </c>
      <c r="D62" s="4"/>
      <c r="E62" s="4"/>
      <c r="F62" s="4"/>
      <c r="G62" s="4"/>
      <c r="H62" s="4"/>
      <c r="I62" s="4"/>
      <c r="J62" s="5">
        <f t="shared" si="11"/>
        <v>300</v>
      </c>
    </row>
    <row r="63" spans="1:10" x14ac:dyDescent="0.25">
      <c r="A63" s="3" t="s">
        <v>66</v>
      </c>
      <c r="B63" s="5">
        <f>6100</f>
        <v>6100</v>
      </c>
      <c r="C63" s="4"/>
      <c r="D63" s="4"/>
      <c r="E63" s="4"/>
      <c r="F63" s="4"/>
      <c r="G63" s="4"/>
      <c r="H63" s="4"/>
      <c r="I63" s="4"/>
      <c r="J63" s="5">
        <f t="shared" si="11"/>
        <v>6100</v>
      </c>
    </row>
    <row r="64" spans="1:10" x14ac:dyDescent="0.25">
      <c r="A64" s="3" t="s">
        <v>67</v>
      </c>
      <c r="B64" s="4"/>
      <c r="C64" s="5">
        <f>28.26</f>
        <v>28.26</v>
      </c>
      <c r="D64" s="4"/>
      <c r="E64" s="4"/>
      <c r="F64" s="4"/>
      <c r="G64" s="4"/>
      <c r="H64" s="4"/>
      <c r="I64" s="5">
        <f>77.9</f>
        <v>77.900000000000006</v>
      </c>
      <c r="J64" s="5">
        <f t="shared" si="11"/>
        <v>106.16000000000001</v>
      </c>
    </row>
    <row r="65" spans="1:10" x14ac:dyDescent="0.25">
      <c r="A65" s="3" t="s">
        <v>68</v>
      </c>
      <c r="B65" s="4"/>
      <c r="C65" s="4"/>
      <c r="D65" s="4"/>
      <c r="E65" s="5">
        <f>300</f>
        <v>300</v>
      </c>
      <c r="F65" s="5">
        <f>5351.76</f>
        <v>5351.76</v>
      </c>
      <c r="G65" s="5">
        <f>-586.56</f>
        <v>-586.55999999999995</v>
      </c>
      <c r="H65" s="5">
        <f>37.5</f>
        <v>37.5</v>
      </c>
      <c r="I65" s="4"/>
      <c r="J65" s="5">
        <f t="shared" si="11"/>
        <v>5102.7000000000007</v>
      </c>
    </row>
    <row r="66" spans="1:10" x14ac:dyDescent="0.25">
      <c r="A66" s="3" t="s">
        <v>69</v>
      </c>
      <c r="B66" s="4"/>
      <c r="C66" s="4"/>
      <c r="D66" s="4"/>
      <c r="E66" s="4"/>
      <c r="F66" s="4"/>
      <c r="G66" s="5">
        <f>112</f>
        <v>112</v>
      </c>
      <c r="H66" s="4"/>
      <c r="I66" s="4"/>
      <c r="J66" s="5">
        <f t="shared" si="11"/>
        <v>112</v>
      </c>
    </row>
    <row r="67" spans="1:10" x14ac:dyDescent="0.25">
      <c r="A67" s="3" t="s">
        <v>70</v>
      </c>
      <c r="B67" s="4"/>
      <c r="C67" s="4"/>
      <c r="D67" s="5">
        <f>3.34</f>
        <v>3.34</v>
      </c>
      <c r="E67" s="4"/>
      <c r="F67" s="4"/>
      <c r="G67" s="4"/>
      <c r="H67" s="4"/>
      <c r="I67" s="5">
        <f>162</f>
        <v>162</v>
      </c>
      <c r="J67" s="5">
        <f t="shared" si="11"/>
        <v>165.34</v>
      </c>
    </row>
    <row r="68" spans="1:10" x14ac:dyDescent="0.25">
      <c r="A68" s="3" t="s">
        <v>71</v>
      </c>
      <c r="B68" s="4"/>
      <c r="C68" s="4"/>
      <c r="D68" s="5">
        <f>460.32</f>
        <v>460.32</v>
      </c>
      <c r="E68" s="4"/>
      <c r="F68" s="4"/>
      <c r="G68" s="4"/>
      <c r="H68" s="4"/>
      <c r="I68" s="5">
        <f>147.62</f>
        <v>147.62</v>
      </c>
      <c r="J68" s="5">
        <f t="shared" si="11"/>
        <v>607.94000000000005</v>
      </c>
    </row>
    <row r="69" spans="1:10" x14ac:dyDescent="0.25">
      <c r="A69" s="3" t="s">
        <v>72</v>
      </c>
      <c r="B69" s="5">
        <f>511.67</f>
        <v>511.67</v>
      </c>
      <c r="C69" s="5">
        <f>308.17</f>
        <v>308.17</v>
      </c>
      <c r="D69" s="5">
        <f>221.88</f>
        <v>221.88</v>
      </c>
      <c r="E69" s="5">
        <f>46.2</f>
        <v>46.2</v>
      </c>
      <c r="F69" s="4"/>
      <c r="G69" s="4"/>
      <c r="H69" s="5">
        <f>276.1</f>
        <v>276.10000000000002</v>
      </c>
      <c r="I69" s="5">
        <f>230</f>
        <v>230</v>
      </c>
      <c r="J69" s="5">
        <f t="shared" si="11"/>
        <v>1594.02</v>
      </c>
    </row>
    <row r="70" spans="1:10" x14ac:dyDescent="0.25">
      <c r="A70" s="3" t="s">
        <v>73</v>
      </c>
      <c r="B70" s="6">
        <f t="shared" ref="B70:I70" si="15">(((((((((((B58)+(B59))+(B60))+(B61))+(B62))+(B63))+(B64))+(B65))+(B66))+(B67))+(B68))+(B69)</f>
        <v>13910.039999999999</v>
      </c>
      <c r="C70" s="6">
        <f t="shared" si="15"/>
        <v>6501.43</v>
      </c>
      <c r="D70" s="6">
        <f t="shared" si="15"/>
        <v>5200.54</v>
      </c>
      <c r="E70" s="6">
        <f t="shared" si="15"/>
        <v>6008.7699999999995</v>
      </c>
      <c r="F70" s="6">
        <f t="shared" si="15"/>
        <v>9934.66</v>
      </c>
      <c r="G70" s="6">
        <f t="shared" si="15"/>
        <v>4040.44</v>
      </c>
      <c r="H70" s="6">
        <f t="shared" si="15"/>
        <v>6175.56</v>
      </c>
      <c r="I70" s="6">
        <f t="shared" si="15"/>
        <v>5950.16</v>
      </c>
      <c r="J70" s="6">
        <f t="shared" si="11"/>
        <v>57721.600000000006</v>
      </c>
    </row>
    <row r="71" spans="1:10" x14ac:dyDescent="0.25">
      <c r="A71" s="3" t="s">
        <v>74</v>
      </c>
      <c r="B71" s="4"/>
      <c r="C71" s="4"/>
      <c r="D71" s="4"/>
      <c r="E71" s="4"/>
      <c r="F71" s="4"/>
      <c r="G71" s="4"/>
      <c r="H71" s="4"/>
      <c r="I71" s="4"/>
      <c r="J71" s="5">
        <f t="shared" si="11"/>
        <v>0</v>
      </c>
    </row>
    <row r="72" spans="1:10" x14ac:dyDescent="0.25">
      <c r="A72" s="3" t="s">
        <v>75</v>
      </c>
      <c r="B72" s="5">
        <f>6938.19</f>
        <v>6938.19</v>
      </c>
      <c r="C72" s="5">
        <f>7183.63</f>
        <v>7183.63</v>
      </c>
      <c r="D72" s="5">
        <f>6592.13</f>
        <v>6592.13</v>
      </c>
      <c r="E72" s="5">
        <f>6722.13</f>
        <v>6722.13</v>
      </c>
      <c r="F72" s="5">
        <f>4988.55</f>
        <v>4988.55</v>
      </c>
      <c r="G72" s="5">
        <f>7536.12</f>
        <v>7536.12</v>
      </c>
      <c r="H72" s="5">
        <f>5678.78</f>
        <v>5678.78</v>
      </c>
      <c r="I72" s="5">
        <f>6135.06</f>
        <v>6135.06</v>
      </c>
      <c r="J72" s="5">
        <f t="shared" si="11"/>
        <v>51774.59</v>
      </c>
    </row>
    <row r="73" spans="1:10" x14ac:dyDescent="0.25">
      <c r="A73" s="3" t="s">
        <v>76</v>
      </c>
      <c r="B73" s="4"/>
      <c r="C73" s="5">
        <f>35.95</f>
        <v>35.950000000000003</v>
      </c>
      <c r="D73" s="5">
        <f>127.93</f>
        <v>127.93</v>
      </c>
      <c r="E73" s="5">
        <f>238.61</f>
        <v>238.61</v>
      </c>
      <c r="F73" s="5">
        <f>82.4</f>
        <v>82.4</v>
      </c>
      <c r="G73" s="4"/>
      <c r="H73" s="4"/>
      <c r="I73" s="4"/>
      <c r="J73" s="5">
        <f t="shared" si="11"/>
        <v>484.89</v>
      </c>
    </row>
    <row r="74" spans="1:10" x14ac:dyDescent="0.25">
      <c r="A74" s="3" t="s">
        <v>77</v>
      </c>
      <c r="B74" s="4"/>
      <c r="C74" s="5">
        <f>200</f>
        <v>200</v>
      </c>
      <c r="D74" s="5">
        <f>200.1</f>
        <v>200.1</v>
      </c>
      <c r="E74" s="5">
        <f>290</f>
        <v>290</v>
      </c>
      <c r="F74" s="5">
        <f>200</f>
        <v>200</v>
      </c>
      <c r="G74" s="5">
        <f>1200</f>
        <v>1200</v>
      </c>
      <c r="H74" s="5">
        <f>200</f>
        <v>200</v>
      </c>
      <c r="I74" s="5">
        <f>250</f>
        <v>250</v>
      </c>
      <c r="J74" s="5">
        <f t="shared" si="11"/>
        <v>2540.1</v>
      </c>
    </row>
    <row r="75" spans="1:10" x14ac:dyDescent="0.25">
      <c r="A75" s="3" t="s">
        <v>78</v>
      </c>
      <c r="B75" s="4"/>
      <c r="C75" s="5">
        <f>53.3</f>
        <v>53.3</v>
      </c>
      <c r="D75" s="5">
        <f>87.79</f>
        <v>87.79</v>
      </c>
      <c r="E75" s="5">
        <f>49.25</f>
        <v>49.25</v>
      </c>
      <c r="F75" s="4"/>
      <c r="G75" s="4"/>
      <c r="H75" s="4"/>
      <c r="I75" s="4"/>
      <c r="J75" s="5">
        <f t="shared" si="11"/>
        <v>190.34</v>
      </c>
    </row>
    <row r="76" spans="1:10" x14ac:dyDescent="0.25">
      <c r="A76" s="3" t="s">
        <v>79</v>
      </c>
      <c r="B76" s="4"/>
      <c r="C76" s="4"/>
      <c r="D76" s="5">
        <f>19.8</f>
        <v>19.8</v>
      </c>
      <c r="E76" s="4"/>
      <c r="F76" s="4"/>
      <c r="G76" s="4"/>
      <c r="H76" s="4"/>
      <c r="I76" s="4"/>
      <c r="J76" s="5">
        <f t="shared" si="11"/>
        <v>19.8</v>
      </c>
    </row>
    <row r="77" spans="1:10" x14ac:dyDescent="0.25">
      <c r="A77" s="3" t="s">
        <v>80</v>
      </c>
      <c r="B77" s="5">
        <f>300</f>
        <v>300</v>
      </c>
      <c r="C77" s="5">
        <f>300</f>
        <v>300</v>
      </c>
      <c r="D77" s="5">
        <f>300</f>
        <v>300</v>
      </c>
      <c r="E77" s="5">
        <f>300</f>
        <v>300</v>
      </c>
      <c r="F77" s="5">
        <f>2305.5</f>
        <v>2305.5</v>
      </c>
      <c r="G77" s="5">
        <f>300</f>
        <v>300</v>
      </c>
      <c r="H77" s="5">
        <f>600</f>
        <v>600</v>
      </c>
      <c r="I77" s="5">
        <f>300</f>
        <v>300</v>
      </c>
      <c r="J77" s="5">
        <f t="shared" ref="J77:J108" si="16">(((((((B77)+(C77))+(D77))+(E77))+(F77))+(G77))+(H77))+(I77)</f>
        <v>4705.5</v>
      </c>
    </row>
    <row r="78" spans="1:10" x14ac:dyDescent="0.25">
      <c r="A78" s="3" t="s">
        <v>81</v>
      </c>
      <c r="B78" s="4"/>
      <c r="C78" s="5">
        <f>259.9</f>
        <v>259.89999999999998</v>
      </c>
      <c r="D78" s="5">
        <f>82.5</f>
        <v>82.5</v>
      </c>
      <c r="E78" s="5">
        <f>432.08</f>
        <v>432.08</v>
      </c>
      <c r="F78" s="5">
        <f>580.39</f>
        <v>580.39</v>
      </c>
      <c r="G78" s="4"/>
      <c r="H78" s="5">
        <f>840</f>
        <v>840</v>
      </c>
      <c r="I78" s="5">
        <f>265.25</f>
        <v>265.25</v>
      </c>
      <c r="J78" s="5">
        <f t="shared" si="16"/>
        <v>2460.12</v>
      </c>
    </row>
    <row r="79" spans="1:10" x14ac:dyDescent="0.25">
      <c r="A79" s="3" t="s">
        <v>82</v>
      </c>
      <c r="B79" s="5">
        <f>466.75</f>
        <v>466.75</v>
      </c>
      <c r="C79" s="5">
        <f>471</f>
        <v>471</v>
      </c>
      <c r="D79" s="5">
        <f>321</f>
        <v>321</v>
      </c>
      <c r="E79" s="5">
        <f>321</f>
        <v>321</v>
      </c>
      <c r="F79" s="5">
        <f>785</f>
        <v>785</v>
      </c>
      <c r="G79" s="5">
        <f>385</f>
        <v>385</v>
      </c>
      <c r="H79" s="5">
        <f>518.74</f>
        <v>518.74</v>
      </c>
      <c r="I79" s="5">
        <f>224.99</f>
        <v>224.99</v>
      </c>
      <c r="J79" s="5">
        <f t="shared" si="16"/>
        <v>3493.4799999999996</v>
      </c>
    </row>
    <row r="80" spans="1:10" x14ac:dyDescent="0.25">
      <c r="A80" s="3" t="s">
        <v>83</v>
      </c>
      <c r="B80" s="4"/>
      <c r="C80" s="5">
        <f>145.77</f>
        <v>145.77000000000001</v>
      </c>
      <c r="D80" s="4"/>
      <c r="E80" s="4"/>
      <c r="F80" s="5">
        <f>2495.04</f>
        <v>2495.04</v>
      </c>
      <c r="G80" s="5">
        <f>-2739.46</f>
        <v>-2739.46</v>
      </c>
      <c r="H80" s="5">
        <f>215.91</f>
        <v>215.91</v>
      </c>
      <c r="I80" s="5">
        <f>22.2</f>
        <v>22.2</v>
      </c>
      <c r="J80" s="5">
        <f t="shared" si="16"/>
        <v>139.45999999999989</v>
      </c>
    </row>
    <row r="81" spans="1:10" x14ac:dyDescent="0.25">
      <c r="A81" s="3" t="s">
        <v>84</v>
      </c>
      <c r="B81" s="5">
        <f>26.1</f>
        <v>26.1</v>
      </c>
      <c r="C81" s="4"/>
      <c r="D81" s="4"/>
      <c r="E81" s="4"/>
      <c r="F81" s="4"/>
      <c r="G81" s="4"/>
      <c r="H81" s="4"/>
      <c r="I81" s="4"/>
      <c r="J81" s="5">
        <f t="shared" si="16"/>
        <v>26.1</v>
      </c>
    </row>
    <row r="82" spans="1:10" x14ac:dyDescent="0.25">
      <c r="A82" s="3" t="s">
        <v>85</v>
      </c>
      <c r="B82" s="4"/>
      <c r="C82" s="5">
        <f>758.4</f>
        <v>758.4</v>
      </c>
      <c r="D82" s="4"/>
      <c r="E82" s="5">
        <f>200</f>
        <v>200</v>
      </c>
      <c r="F82" s="5">
        <f>200</f>
        <v>200</v>
      </c>
      <c r="G82" s="5">
        <f>200</f>
        <v>200</v>
      </c>
      <c r="H82" s="4"/>
      <c r="I82" s="4"/>
      <c r="J82" s="5">
        <f t="shared" si="16"/>
        <v>1358.4</v>
      </c>
    </row>
    <row r="83" spans="1:10" x14ac:dyDescent="0.25">
      <c r="A83" s="3" t="s">
        <v>86</v>
      </c>
      <c r="B83" s="4"/>
      <c r="C83" s="5">
        <f>355</f>
        <v>355</v>
      </c>
      <c r="D83" s="4"/>
      <c r="E83" s="4"/>
      <c r="F83" s="4"/>
      <c r="G83" s="5">
        <f>400</f>
        <v>400</v>
      </c>
      <c r="H83" s="4"/>
      <c r="I83" s="4"/>
      <c r="J83" s="5">
        <f t="shared" si="16"/>
        <v>755</v>
      </c>
    </row>
    <row r="84" spans="1:10" x14ac:dyDescent="0.25">
      <c r="A84" s="3" t="s">
        <v>87</v>
      </c>
      <c r="B84" s="5">
        <f>317.81</f>
        <v>317.81</v>
      </c>
      <c r="C84" s="4"/>
      <c r="D84" s="4"/>
      <c r="E84" s="5">
        <f>250</f>
        <v>250</v>
      </c>
      <c r="F84" s="4"/>
      <c r="G84" s="4"/>
      <c r="H84" s="5">
        <f>290</f>
        <v>290</v>
      </c>
      <c r="I84" s="5">
        <f>200</f>
        <v>200</v>
      </c>
      <c r="J84" s="5">
        <f t="shared" si="16"/>
        <v>1057.81</v>
      </c>
    </row>
    <row r="85" spans="1:10" x14ac:dyDescent="0.25">
      <c r="A85" s="3" t="s">
        <v>88</v>
      </c>
      <c r="B85" s="6">
        <f t="shared" ref="B85:I85" si="17">(((((((((((((B71)+(B72))+(B73))+(B74))+(B75))+(B76))+(B77))+(B78))+(B79))+(B80))+(B81))+(B82))+(B83))+(B84)</f>
        <v>8048.85</v>
      </c>
      <c r="C85" s="6">
        <f t="shared" si="17"/>
        <v>9762.9499999999989</v>
      </c>
      <c r="D85" s="6">
        <f t="shared" si="17"/>
        <v>7731.2500000000009</v>
      </c>
      <c r="E85" s="6">
        <f t="shared" si="17"/>
        <v>8803.07</v>
      </c>
      <c r="F85" s="6">
        <f t="shared" si="17"/>
        <v>11636.880000000001</v>
      </c>
      <c r="G85" s="6">
        <f t="shared" si="17"/>
        <v>7281.6599999999989</v>
      </c>
      <c r="H85" s="6">
        <f t="shared" si="17"/>
        <v>8343.43</v>
      </c>
      <c r="I85" s="6">
        <f t="shared" si="17"/>
        <v>7397.5</v>
      </c>
      <c r="J85" s="6">
        <f t="shared" si="16"/>
        <v>69005.59</v>
      </c>
    </row>
    <row r="86" spans="1:10" x14ac:dyDescent="0.25">
      <c r="A86" s="3" t="s">
        <v>89</v>
      </c>
      <c r="B86" s="4"/>
      <c r="C86" s="4"/>
      <c r="D86" s="4"/>
      <c r="E86" s="4"/>
      <c r="F86" s="4"/>
      <c r="G86" s="4"/>
      <c r="H86" s="4"/>
      <c r="I86" s="4"/>
      <c r="J86" s="5">
        <f t="shared" si="16"/>
        <v>0</v>
      </c>
    </row>
    <row r="87" spans="1:10" x14ac:dyDescent="0.25">
      <c r="A87" s="3" t="s">
        <v>90</v>
      </c>
      <c r="B87" s="5">
        <f>341.48</f>
        <v>341.48</v>
      </c>
      <c r="C87" s="5">
        <f>367.5</f>
        <v>367.5</v>
      </c>
      <c r="D87" s="5">
        <f>367.5</f>
        <v>367.5</v>
      </c>
      <c r="E87" s="5">
        <f>367.5</f>
        <v>367.5</v>
      </c>
      <c r="F87" s="5">
        <f>367.5</f>
        <v>367.5</v>
      </c>
      <c r="G87" s="5">
        <f>367.5</f>
        <v>367.5</v>
      </c>
      <c r="H87" s="5">
        <f>376.25</f>
        <v>376.25</v>
      </c>
      <c r="I87" s="5">
        <f>388.26</f>
        <v>388.26</v>
      </c>
      <c r="J87" s="5">
        <f t="shared" si="16"/>
        <v>2943.49</v>
      </c>
    </row>
    <row r="88" spans="1:10" x14ac:dyDescent="0.25">
      <c r="A88" s="3" t="s">
        <v>91</v>
      </c>
      <c r="B88" s="4"/>
      <c r="C88" s="5">
        <f>884.05</f>
        <v>884.05</v>
      </c>
      <c r="D88" s="5">
        <f>242.38</f>
        <v>242.38</v>
      </c>
      <c r="E88" s="5">
        <f>150</f>
        <v>150</v>
      </c>
      <c r="F88" s="5">
        <f>150</f>
        <v>150</v>
      </c>
      <c r="G88" s="4"/>
      <c r="H88" s="4"/>
      <c r="I88" s="5">
        <f>139.44</f>
        <v>139.44</v>
      </c>
      <c r="J88" s="5">
        <f t="shared" si="16"/>
        <v>1565.87</v>
      </c>
    </row>
    <row r="89" spans="1:10" x14ac:dyDescent="0.25">
      <c r="A89" s="3" t="s">
        <v>92</v>
      </c>
      <c r="B89" s="5">
        <f>318.9</f>
        <v>318.89999999999998</v>
      </c>
      <c r="C89" s="5">
        <f>160.5</f>
        <v>160.5</v>
      </c>
      <c r="D89" s="5">
        <f>334.89</f>
        <v>334.89</v>
      </c>
      <c r="E89" s="5">
        <f>335.22</f>
        <v>335.22</v>
      </c>
      <c r="F89" s="5">
        <f>335.22</f>
        <v>335.22</v>
      </c>
      <c r="G89" s="5">
        <f>337.36</f>
        <v>337.36</v>
      </c>
      <c r="H89" s="5">
        <f>341.36</f>
        <v>341.36</v>
      </c>
      <c r="I89" s="5">
        <f>337.59</f>
        <v>337.59</v>
      </c>
      <c r="J89" s="5">
        <f t="shared" si="16"/>
        <v>2501.0400000000004</v>
      </c>
    </row>
    <row r="90" spans="1:10" x14ac:dyDescent="0.25">
      <c r="A90" s="3" t="s">
        <v>93</v>
      </c>
      <c r="B90" s="4"/>
      <c r="C90" s="4"/>
      <c r="D90" s="4"/>
      <c r="E90" s="5">
        <f>190</f>
        <v>190</v>
      </c>
      <c r="F90" s="5">
        <f>125.88</f>
        <v>125.88</v>
      </c>
      <c r="G90" s="4"/>
      <c r="H90" s="4"/>
      <c r="I90" s="4"/>
      <c r="J90" s="5">
        <f t="shared" si="16"/>
        <v>315.88</v>
      </c>
    </row>
    <row r="91" spans="1:10" x14ac:dyDescent="0.25">
      <c r="A91" s="3" t="s">
        <v>94</v>
      </c>
      <c r="B91" s="6">
        <f t="shared" ref="B91:I91" si="18">((((B86)+(B87))+(B88))+(B89))+(B90)</f>
        <v>660.38</v>
      </c>
      <c r="C91" s="6">
        <f t="shared" si="18"/>
        <v>1412.05</v>
      </c>
      <c r="D91" s="6">
        <f t="shared" si="18"/>
        <v>944.77</v>
      </c>
      <c r="E91" s="6">
        <f t="shared" si="18"/>
        <v>1042.72</v>
      </c>
      <c r="F91" s="6">
        <f t="shared" si="18"/>
        <v>978.6</v>
      </c>
      <c r="G91" s="6">
        <f t="shared" si="18"/>
        <v>704.86</v>
      </c>
      <c r="H91" s="6">
        <f t="shared" si="18"/>
        <v>717.61</v>
      </c>
      <c r="I91" s="6">
        <f t="shared" si="18"/>
        <v>865.29</v>
      </c>
      <c r="J91" s="6">
        <f t="shared" si="16"/>
        <v>7326.28</v>
      </c>
    </row>
    <row r="92" spans="1:10" x14ac:dyDescent="0.25">
      <c r="A92" s="3" t="s">
        <v>95</v>
      </c>
      <c r="B92" s="4"/>
      <c r="C92" s="4"/>
      <c r="D92" s="4"/>
      <c r="E92" s="4"/>
      <c r="F92" s="4"/>
      <c r="G92" s="4"/>
      <c r="H92" s="4"/>
      <c r="I92" s="4"/>
      <c r="J92" s="5">
        <f t="shared" si="16"/>
        <v>0</v>
      </c>
    </row>
    <row r="93" spans="1:10" x14ac:dyDescent="0.25">
      <c r="A93" s="3" t="s">
        <v>96</v>
      </c>
      <c r="B93" s="5">
        <f>185</f>
        <v>185</v>
      </c>
      <c r="C93" s="4"/>
      <c r="D93" s="5">
        <f>185</f>
        <v>185</v>
      </c>
      <c r="E93" s="4"/>
      <c r="F93" s="5">
        <f>185</f>
        <v>185</v>
      </c>
      <c r="G93" s="4"/>
      <c r="H93" s="4"/>
      <c r="I93" s="5">
        <f>410</f>
        <v>410</v>
      </c>
      <c r="J93" s="5">
        <f t="shared" si="16"/>
        <v>965</v>
      </c>
    </row>
    <row r="94" spans="1:10" x14ac:dyDescent="0.25">
      <c r="A94" s="3" t="s">
        <v>97</v>
      </c>
      <c r="B94" s="4"/>
      <c r="C94" s="4"/>
      <c r="D94" s="4"/>
      <c r="E94" s="4"/>
      <c r="F94" s="4"/>
      <c r="G94" s="4"/>
      <c r="H94" s="5">
        <f>1940</f>
        <v>1940</v>
      </c>
      <c r="I94" s="4"/>
      <c r="J94" s="5">
        <f t="shared" si="16"/>
        <v>1940</v>
      </c>
    </row>
    <row r="95" spans="1:10" x14ac:dyDescent="0.25">
      <c r="A95" s="3" t="s">
        <v>98</v>
      </c>
      <c r="B95" s="5">
        <f>400</f>
        <v>400</v>
      </c>
      <c r="C95" s="5">
        <f>180</f>
        <v>180</v>
      </c>
      <c r="D95" s="5">
        <f>180</f>
        <v>180</v>
      </c>
      <c r="E95" s="4"/>
      <c r="F95" s="4"/>
      <c r="G95" s="4"/>
      <c r="H95" s="4"/>
      <c r="I95" s="4"/>
      <c r="J95" s="5">
        <f t="shared" si="16"/>
        <v>760</v>
      </c>
    </row>
    <row r="96" spans="1:10" x14ac:dyDescent="0.25">
      <c r="A96" s="3" t="s">
        <v>99</v>
      </c>
      <c r="B96" s="4"/>
      <c r="C96" s="4"/>
      <c r="D96" s="4"/>
      <c r="E96" s="4"/>
      <c r="F96" s="4"/>
      <c r="G96" s="4"/>
      <c r="H96" s="5">
        <f>147.45</f>
        <v>147.44999999999999</v>
      </c>
      <c r="I96" s="4"/>
      <c r="J96" s="5">
        <f t="shared" si="16"/>
        <v>147.44999999999999</v>
      </c>
    </row>
    <row r="97" spans="1:10" x14ac:dyDescent="0.25">
      <c r="A97" s="3" t="s">
        <v>100</v>
      </c>
      <c r="B97" s="5">
        <f>230.98</f>
        <v>230.98</v>
      </c>
      <c r="C97" s="5">
        <f>230.98</f>
        <v>230.98</v>
      </c>
      <c r="D97" s="5">
        <f>219.99</f>
        <v>219.99</v>
      </c>
      <c r="E97" s="5">
        <f>607.97</f>
        <v>607.97</v>
      </c>
      <c r="F97" s="5">
        <f>319.98</f>
        <v>319.98</v>
      </c>
      <c r="G97" s="5">
        <f>-167.99</f>
        <v>-167.99</v>
      </c>
      <c r="H97" s="5">
        <f>295.99</f>
        <v>295.99</v>
      </c>
      <c r="I97" s="5">
        <f>835.68</f>
        <v>835.68</v>
      </c>
      <c r="J97" s="5">
        <f t="shared" si="16"/>
        <v>2573.58</v>
      </c>
    </row>
    <row r="98" spans="1:10" x14ac:dyDescent="0.25">
      <c r="A98" s="3" t="s">
        <v>101</v>
      </c>
      <c r="B98" s="5">
        <f>329.36</f>
        <v>329.36</v>
      </c>
      <c r="C98" s="5">
        <f>350</f>
        <v>350</v>
      </c>
      <c r="D98" s="4"/>
      <c r="E98" s="5">
        <f>247.55</f>
        <v>247.55</v>
      </c>
      <c r="F98" s="5">
        <f>148.98</f>
        <v>148.97999999999999</v>
      </c>
      <c r="G98" s="5">
        <f>63.91</f>
        <v>63.91</v>
      </c>
      <c r="H98" s="5">
        <f>387.16</f>
        <v>387.16</v>
      </c>
      <c r="I98" s="5">
        <f>221.02</f>
        <v>221.02</v>
      </c>
      <c r="J98" s="5">
        <f t="shared" si="16"/>
        <v>1747.9800000000002</v>
      </c>
    </row>
    <row r="99" spans="1:10" x14ac:dyDescent="0.25">
      <c r="A99" s="3" t="s">
        <v>102</v>
      </c>
      <c r="B99" s="4"/>
      <c r="C99" s="4"/>
      <c r="D99" s="5">
        <f>293.63</f>
        <v>293.63</v>
      </c>
      <c r="E99" s="4"/>
      <c r="F99" s="4"/>
      <c r="G99" s="4"/>
      <c r="H99" s="4"/>
      <c r="I99" s="4"/>
      <c r="J99" s="5">
        <f t="shared" si="16"/>
        <v>293.63</v>
      </c>
    </row>
    <row r="100" spans="1:10" x14ac:dyDescent="0.25">
      <c r="A100" s="3" t="s">
        <v>103</v>
      </c>
      <c r="B100" s="5">
        <f>180</f>
        <v>180</v>
      </c>
      <c r="C100" s="5">
        <f>219</f>
        <v>219</v>
      </c>
      <c r="D100" s="5">
        <f>219.99</f>
        <v>219.99</v>
      </c>
      <c r="E100" s="5">
        <f>219.99</f>
        <v>219.99</v>
      </c>
      <c r="F100" s="5">
        <f>409.99</f>
        <v>409.99</v>
      </c>
      <c r="G100" s="5">
        <f>409.99</f>
        <v>409.99</v>
      </c>
      <c r="H100" s="5">
        <f>516.02</f>
        <v>516.02</v>
      </c>
      <c r="I100" s="5">
        <f>436.32</f>
        <v>436.32</v>
      </c>
      <c r="J100" s="5">
        <f t="shared" si="16"/>
        <v>2611.3000000000002</v>
      </c>
    </row>
    <row r="101" spans="1:10" x14ac:dyDescent="0.25">
      <c r="A101" s="3" t="s">
        <v>104</v>
      </c>
      <c r="B101" s="6">
        <f t="shared" ref="B101:I101" si="19">((((((((B92)+(B93))+(B94))+(B95))+(B96))+(B97))+(B98))+(B99))+(B100)</f>
        <v>1325.3400000000001</v>
      </c>
      <c r="C101" s="6">
        <f t="shared" si="19"/>
        <v>979.98</v>
      </c>
      <c r="D101" s="6">
        <f t="shared" si="19"/>
        <v>1098.6100000000001</v>
      </c>
      <c r="E101" s="6">
        <f t="shared" si="19"/>
        <v>1075.51</v>
      </c>
      <c r="F101" s="6">
        <f t="shared" si="19"/>
        <v>1063.95</v>
      </c>
      <c r="G101" s="6">
        <f t="shared" si="19"/>
        <v>305.90999999999997</v>
      </c>
      <c r="H101" s="6">
        <f t="shared" si="19"/>
        <v>3286.6199999999994</v>
      </c>
      <c r="I101" s="6">
        <f t="shared" si="19"/>
        <v>1903.0199999999998</v>
      </c>
      <c r="J101" s="6">
        <f t="shared" si="16"/>
        <v>11038.94</v>
      </c>
    </row>
    <row r="102" spans="1:10" x14ac:dyDescent="0.25">
      <c r="A102" s="3" t="s">
        <v>105</v>
      </c>
      <c r="B102" s="4"/>
      <c r="C102" s="4"/>
      <c r="D102" s="4"/>
      <c r="E102" s="4"/>
      <c r="F102" s="4"/>
      <c r="G102" s="4"/>
      <c r="H102" s="4"/>
      <c r="I102" s="4"/>
      <c r="J102" s="5">
        <f t="shared" si="16"/>
        <v>0</v>
      </c>
    </row>
    <row r="103" spans="1:10" x14ac:dyDescent="0.25">
      <c r="A103" s="3" t="s">
        <v>106</v>
      </c>
      <c r="B103" s="5">
        <f>393.34</f>
        <v>393.34</v>
      </c>
      <c r="C103" s="5">
        <f>809.75</f>
        <v>809.75</v>
      </c>
      <c r="D103" s="5">
        <f>217</f>
        <v>217</v>
      </c>
      <c r="E103" s="5">
        <f>122.18</f>
        <v>122.18</v>
      </c>
      <c r="F103" s="5">
        <f>831.42</f>
        <v>831.42</v>
      </c>
      <c r="G103" s="5">
        <f>180.58</f>
        <v>180.58</v>
      </c>
      <c r="H103" s="5">
        <f>195.97</f>
        <v>195.97</v>
      </c>
      <c r="I103" s="5">
        <f>220.37</f>
        <v>220.37</v>
      </c>
      <c r="J103" s="5">
        <f t="shared" si="16"/>
        <v>2970.6099999999997</v>
      </c>
    </row>
    <row r="104" spans="1:10" x14ac:dyDescent="0.25">
      <c r="A104" s="3" t="s">
        <v>107</v>
      </c>
      <c r="B104" s="5">
        <f>32.87</f>
        <v>32.869999999999997</v>
      </c>
      <c r="C104" s="5">
        <f>25.57</f>
        <v>25.57</v>
      </c>
      <c r="D104" s="5">
        <f>25.05</f>
        <v>25.05</v>
      </c>
      <c r="E104" s="5">
        <f>32.16</f>
        <v>32.159999999999997</v>
      </c>
      <c r="F104" s="5">
        <f>23.68</f>
        <v>23.68</v>
      </c>
      <c r="G104" s="5">
        <f>25.3</f>
        <v>25.3</v>
      </c>
      <c r="H104" s="4"/>
      <c r="I104" s="4"/>
      <c r="J104" s="5">
        <f t="shared" si="16"/>
        <v>164.63</v>
      </c>
    </row>
    <row r="105" spans="1:10" x14ac:dyDescent="0.25">
      <c r="A105" s="3" t="s">
        <v>108</v>
      </c>
      <c r="B105" s="5">
        <f>627.23</f>
        <v>627.23</v>
      </c>
      <c r="C105" s="5">
        <f>487.99</f>
        <v>487.99</v>
      </c>
      <c r="D105" s="5">
        <f>477.99</f>
        <v>477.99</v>
      </c>
      <c r="E105" s="5">
        <f>613.64</f>
        <v>613.64</v>
      </c>
      <c r="F105" s="5">
        <f>451.98</f>
        <v>451.98</v>
      </c>
      <c r="G105" s="5">
        <f>482.6</f>
        <v>482.6</v>
      </c>
      <c r="H105" s="4"/>
      <c r="I105" s="4"/>
      <c r="J105" s="5">
        <f t="shared" si="16"/>
        <v>3141.43</v>
      </c>
    </row>
    <row r="106" spans="1:10" x14ac:dyDescent="0.25">
      <c r="A106" s="3" t="s">
        <v>109</v>
      </c>
      <c r="B106" s="4"/>
      <c r="C106" s="4"/>
      <c r="D106" s="4"/>
      <c r="E106" s="4"/>
      <c r="F106" s="4"/>
      <c r="G106" s="5">
        <f>100</f>
        <v>100</v>
      </c>
      <c r="H106" s="4"/>
      <c r="I106" s="4"/>
      <c r="J106" s="5">
        <f t="shared" si="16"/>
        <v>100</v>
      </c>
    </row>
    <row r="107" spans="1:10" x14ac:dyDescent="0.25">
      <c r="A107" s="3" t="s">
        <v>110</v>
      </c>
      <c r="B107" s="6">
        <f t="shared" ref="B107:I107" si="20">((((B102)+(B103))+(B104))+(B105))+(B106)</f>
        <v>1053.44</v>
      </c>
      <c r="C107" s="6">
        <f t="shared" si="20"/>
        <v>1323.31</v>
      </c>
      <c r="D107" s="6">
        <f t="shared" si="20"/>
        <v>720.04</v>
      </c>
      <c r="E107" s="6">
        <f t="shared" si="20"/>
        <v>767.98</v>
      </c>
      <c r="F107" s="6">
        <f t="shared" si="20"/>
        <v>1307.08</v>
      </c>
      <c r="G107" s="6">
        <f t="shared" si="20"/>
        <v>788.48</v>
      </c>
      <c r="H107" s="6">
        <f t="shared" si="20"/>
        <v>195.97</v>
      </c>
      <c r="I107" s="6">
        <f t="shared" si="20"/>
        <v>220.37</v>
      </c>
      <c r="J107" s="6">
        <f t="shared" si="16"/>
        <v>6376.67</v>
      </c>
    </row>
    <row r="108" spans="1:10" x14ac:dyDescent="0.25">
      <c r="A108" s="3" t="s">
        <v>111</v>
      </c>
      <c r="B108" s="4"/>
      <c r="C108" s="4"/>
      <c r="D108" s="4"/>
      <c r="E108" s="4"/>
      <c r="F108" s="4"/>
      <c r="G108" s="4"/>
      <c r="H108" s="4"/>
      <c r="I108" s="4"/>
      <c r="J108" s="5">
        <f t="shared" si="16"/>
        <v>0</v>
      </c>
    </row>
    <row r="109" spans="1:10" x14ac:dyDescent="0.25">
      <c r="A109" s="3" t="s">
        <v>112</v>
      </c>
      <c r="B109" s="5">
        <f>341.49</f>
        <v>341.49</v>
      </c>
      <c r="C109" s="5">
        <f>367.5</f>
        <v>367.5</v>
      </c>
      <c r="D109" s="5">
        <f>367.5</f>
        <v>367.5</v>
      </c>
      <c r="E109" s="5">
        <f>367.5</f>
        <v>367.5</v>
      </c>
      <c r="F109" s="5">
        <f>367.5</f>
        <v>367.5</v>
      </c>
      <c r="G109" s="5">
        <f>367.5</f>
        <v>367.5</v>
      </c>
      <c r="H109" s="5">
        <f>376.25</f>
        <v>376.25</v>
      </c>
      <c r="I109" s="5">
        <f>388.28</f>
        <v>388.28</v>
      </c>
      <c r="J109" s="5">
        <f t="shared" ref="J109:J129" si="21">(((((((B109)+(C109))+(D109))+(E109))+(F109))+(G109))+(H109))+(I109)</f>
        <v>2943.5199999999995</v>
      </c>
    </row>
    <row r="110" spans="1:10" x14ac:dyDescent="0.25">
      <c r="A110" s="3" t="s">
        <v>113</v>
      </c>
      <c r="B110" s="5">
        <f>1241.6</f>
        <v>1241.5999999999999</v>
      </c>
      <c r="C110" s="5">
        <f>2022.72</f>
        <v>2022.72</v>
      </c>
      <c r="D110" s="5">
        <f>857.88</f>
        <v>857.88</v>
      </c>
      <c r="E110" s="5">
        <f>1218.83</f>
        <v>1218.83</v>
      </c>
      <c r="F110" s="4"/>
      <c r="G110" s="4"/>
      <c r="H110" s="4"/>
      <c r="I110" s="4"/>
      <c r="J110" s="5">
        <f t="shared" si="21"/>
        <v>5341.03</v>
      </c>
    </row>
    <row r="111" spans="1:10" x14ac:dyDescent="0.25">
      <c r="A111" s="3" t="s">
        <v>114</v>
      </c>
      <c r="B111" s="5">
        <f>905.39</f>
        <v>905.39</v>
      </c>
      <c r="C111" s="5">
        <f>10864.36</f>
        <v>10864.36</v>
      </c>
      <c r="D111" s="5">
        <f>3233.21</f>
        <v>3233.21</v>
      </c>
      <c r="E111" s="5">
        <f>-489.8</f>
        <v>-489.8</v>
      </c>
      <c r="F111" s="5">
        <f>6311.91</f>
        <v>6311.91</v>
      </c>
      <c r="G111" s="4"/>
      <c r="H111" s="4"/>
      <c r="I111" s="5">
        <f>541.88</f>
        <v>541.88</v>
      </c>
      <c r="J111" s="5">
        <f t="shared" si="21"/>
        <v>21366.95</v>
      </c>
    </row>
    <row r="112" spans="1:10" x14ac:dyDescent="0.25">
      <c r="A112" s="3" t="s">
        <v>115</v>
      </c>
      <c r="B112" s="5">
        <f>6600</f>
        <v>6600</v>
      </c>
      <c r="C112" s="5">
        <f>1100</f>
        <v>1100</v>
      </c>
      <c r="D112" s="4"/>
      <c r="E112" s="4"/>
      <c r="F112" s="4"/>
      <c r="G112" s="4"/>
      <c r="H112" s="4"/>
      <c r="I112" s="4"/>
      <c r="J112" s="5">
        <f t="shared" si="21"/>
        <v>7700</v>
      </c>
    </row>
    <row r="113" spans="1:10" x14ac:dyDescent="0.25">
      <c r="A113" s="3" t="s">
        <v>116</v>
      </c>
      <c r="B113" s="5">
        <f>4854.44</f>
        <v>4854.4399999999996</v>
      </c>
      <c r="C113" s="5">
        <f>831.13</f>
        <v>831.13</v>
      </c>
      <c r="D113" s="5">
        <f>7535.1</f>
        <v>7535.1</v>
      </c>
      <c r="E113" s="5">
        <f>176.8</f>
        <v>176.8</v>
      </c>
      <c r="F113" s="5">
        <f>1458.14</f>
        <v>1458.14</v>
      </c>
      <c r="G113" s="4"/>
      <c r="H113" s="4"/>
      <c r="I113" s="4"/>
      <c r="J113" s="5">
        <f t="shared" si="21"/>
        <v>14855.609999999999</v>
      </c>
    </row>
    <row r="114" spans="1:10" x14ac:dyDescent="0.25">
      <c r="A114" s="3" t="s">
        <v>117</v>
      </c>
      <c r="B114" s="4"/>
      <c r="C114" s="4"/>
      <c r="D114" s="5">
        <f>780.23</f>
        <v>780.23</v>
      </c>
      <c r="E114" s="5">
        <f>278.86</f>
        <v>278.86</v>
      </c>
      <c r="F114" s="4"/>
      <c r="G114" s="4"/>
      <c r="H114" s="4"/>
      <c r="I114" s="4"/>
      <c r="J114" s="5">
        <f t="shared" si="21"/>
        <v>1059.0900000000001</v>
      </c>
    </row>
    <row r="115" spans="1:10" x14ac:dyDescent="0.25">
      <c r="A115" s="3" t="s">
        <v>118</v>
      </c>
      <c r="B115" s="5">
        <f>317.99</f>
        <v>317.99</v>
      </c>
      <c r="C115" s="5">
        <f>48</f>
        <v>48</v>
      </c>
      <c r="D115" s="4"/>
      <c r="E115" s="5">
        <f>200</f>
        <v>200</v>
      </c>
      <c r="F115" s="4"/>
      <c r="G115" s="4"/>
      <c r="H115" s="4"/>
      <c r="I115" s="4"/>
      <c r="J115" s="5">
        <f t="shared" si="21"/>
        <v>565.99</v>
      </c>
    </row>
    <row r="116" spans="1:10" x14ac:dyDescent="0.25">
      <c r="A116" s="3" t="s">
        <v>119</v>
      </c>
      <c r="B116" s="4"/>
      <c r="C116" s="5">
        <f>443</f>
        <v>443</v>
      </c>
      <c r="D116" s="4"/>
      <c r="E116" s="4"/>
      <c r="F116" s="4"/>
      <c r="G116" s="4"/>
      <c r="H116" s="4"/>
      <c r="I116" s="5">
        <f>743.85</f>
        <v>743.85</v>
      </c>
      <c r="J116" s="5">
        <f t="shared" si="21"/>
        <v>1186.8499999999999</v>
      </c>
    </row>
    <row r="117" spans="1:10" x14ac:dyDescent="0.25">
      <c r="A117" s="3" t="s">
        <v>120</v>
      </c>
      <c r="B117" s="4"/>
      <c r="C117" s="5">
        <f>800</f>
        <v>800</v>
      </c>
      <c r="D117" s="4"/>
      <c r="E117" s="4"/>
      <c r="F117" s="5">
        <f>400</f>
        <v>400</v>
      </c>
      <c r="G117" s="4"/>
      <c r="H117" s="4"/>
      <c r="I117" s="4"/>
      <c r="J117" s="5">
        <f t="shared" si="21"/>
        <v>1200</v>
      </c>
    </row>
    <row r="118" spans="1:10" x14ac:dyDescent="0.25">
      <c r="A118" s="3" t="s">
        <v>121</v>
      </c>
      <c r="B118" s="5">
        <f>1083</f>
        <v>1083</v>
      </c>
      <c r="C118" s="5">
        <f>256.6</f>
        <v>256.60000000000002</v>
      </c>
      <c r="D118" s="5">
        <f>100</f>
        <v>100</v>
      </c>
      <c r="E118" s="4"/>
      <c r="F118" s="4"/>
      <c r="G118" s="4"/>
      <c r="H118" s="4"/>
      <c r="I118" s="5">
        <f>100</f>
        <v>100</v>
      </c>
      <c r="J118" s="5">
        <f t="shared" si="21"/>
        <v>1539.6</v>
      </c>
    </row>
    <row r="119" spans="1:10" x14ac:dyDescent="0.25">
      <c r="A119" s="3" t="s">
        <v>122</v>
      </c>
      <c r="B119" s="5">
        <f>29200</f>
        <v>29200</v>
      </c>
      <c r="C119" s="5">
        <f>7192.97</f>
        <v>7192.97</v>
      </c>
      <c r="D119" s="5">
        <f>6500</f>
        <v>6500</v>
      </c>
      <c r="E119" s="5">
        <f>167.98</f>
        <v>167.98</v>
      </c>
      <c r="F119" s="4"/>
      <c r="G119" s="4"/>
      <c r="H119" s="4"/>
      <c r="I119" s="4"/>
      <c r="J119" s="5">
        <f t="shared" si="21"/>
        <v>43060.950000000004</v>
      </c>
    </row>
    <row r="120" spans="1:10" x14ac:dyDescent="0.25">
      <c r="A120" s="3" t="s">
        <v>123</v>
      </c>
      <c r="B120" s="5">
        <f>11545</f>
        <v>11545</v>
      </c>
      <c r="C120" s="5">
        <f>2440</f>
        <v>2440</v>
      </c>
      <c r="D120" s="5">
        <f>2707.18</f>
        <v>2707.18</v>
      </c>
      <c r="E120" s="5">
        <f>2270</f>
        <v>2270</v>
      </c>
      <c r="F120" s="4"/>
      <c r="G120" s="4"/>
      <c r="H120" s="4"/>
      <c r="I120" s="4"/>
      <c r="J120" s="5">
        <f t="shared" si="21"/>
        <v>18962.18</v>
      </c>
    </row>
    <row r="121" spans="1:10" x14ac:dyDescent="0.25">
      <c r="A121" s="3" t="s">
        <v>124</v>
      </c>
      <c r="B121" s="5">
        <f>-142.56</f>
        <v>-142.56</v>
      </c>
      <c r="C121" s="5">
        <f>-38.99</f>
        <v>-38.99</v>
      </c>
      <c r="D121" s="4"/>
      <c r="E121" s="5">
        <f>80.92</f>
        <v>80.92</v>
      </c>
      <c r="F121" s="4"/>
      <c r="G121" s="5">
        <f>364.93</f>
        <v>364.93</v>
      </c>
      <c r="H121" s="4"/>
      <c r="I121" s="4"/>
      <c r="J121" s="5">
        <f t="shared" si="21"/>
        <v>264.3</v>
      </c>
    </row>
    <row r="122" spans="1:10" x14ac:dyDescent="0.25">
      <c r="A122" s="3" t="s">
        <v>125</v>
      </c>
      <c r="B122" s="5">
        <f>689.04</f>
        <v>689.04</v>
      </c>
      <c r="C122" s="5">
        <f>750</f>
        <v>750</v>
      </c>
      <c r="D122" s="5">
        <f>310</f>
        <v>310</v>
      </c>
      <c r="E122" s="5">
        <f>2440</f>
        <v>2440</v>
      </c>
      <c r="F122" s="5">
        <f>756.25</f>
        <v>756.25</v>
      </c>
      <c r="G122" s="4"/>
      <c r="H122" s="4"/>
      <c r="I122" s="4"/>
      <c r="J122" s="5">
        <f t="shared" si="21"/>
        <v>4945.29</v>
      </c>
    </row>
    <row r="123" spans="1:10" x14ac:dyDescent="0.25">
      <c r="A123" s="3" t="s">
        <v>126</v>
      </c>
      <c r="B123" s="4"/>
      <c r="C123" s="4"/>
      <c r="D123" s="4"/>
      <c r="E123" s="5">
        <f>875</f>
        <v>875</v>
      </c>
      <c r="F123" s="4"/>
      <c r="G123" s="4"/>
      <c r="H123" s="4"/>
      <c r="I123" s="4"/>
      <c r="J123" s="5">
        <f t="shared" si="21"/>
        <v>875</v>
      </c>
    </row>
    <row r="124" spans="1:10" x14ac:dyDescent="0.25">
      <c r="A124" s="3" t="s">
        <v>127</v>
      </c>
      <c r="B124" s="4"/>
      <c r="C124" s="5">
        <f>2646.37</f>
        <v>2646.37</v>
      </c>
      <c r="D124" s="5">
        <f>542.95</f>
        <v>542.95000000000005</v>
      </c>
      <c r="E124" s="4"/>
      <c r="F124" s="4"/>
      <c r="G124" s="4"/>
      <c r="H124" s="4"/>
      <c r="I124" s="4"/>
      <c r="J124" s="5">
        <f t="shared" si="21"/>
        <v>3189.3199999999997</v>
      </c>
    </row>
    <row r="125" spans="1:10" x14ac:dyDescent="0.25">
      <c r="A125" s="3" t="s">
        <v>128</v>
      </c>
      <c r="B125" s="5">
        <f>-2344.47</f>
        <v>-2344.4699999999998</v>
      </c>
      <c r="C125" s="5">
        <f>129.66</f>
        <v>129.66</v>
      </c>
      <c r="D125" s="5">
        <f>2050</f>
        <v>2050</v>
      </c>
      <c r="E125" s="5">
        <f>-1650</f>
        <v>-1650</v>
      </c>
      <c r="F125" s="5">
        <f>-200</f>
        <v>-200</v>
      </c>
      <c r="G125" s="5">
        <f>450</f>
        <v>450</v>
      </c>
      <c r="H125" s="4"/>
      <c r="I125" s="4"/>
      <c r="J125" s="5">
        <f t="shared" si="21"/>
        <v>-1564.81</v>
      </c>
    </row>
    <row r="126" spans="1:10" x14ac:dyDescent="0.25">
      <c r="A126" s="3" t="s">
        <v>129</v>
      </c>
      <c r="B126" s="6">
        <f t="shared" ref="B126:I126" si="22">(((((((((((((((((B108)+(B109))+(B110))+(B111))+(B112))+(B113))+(B114))+(B115))+(B116))+(B117))+(B118))+(B119))+(B120))+(B121))+(B122))+(B123))+(B124))+(B125)</f>
        <v>54290.92</v>
      </c>
      <c r="C126" s="6">
        <f t="shared" si="22"/>
        <v>29853.319999999996</v>
      </c>
      <c r="D126" s="6">
        <f t="shared" si="22"/>
        <v>24984.05</v>
      </c>
      <c r="E126" s="6">
        <f t="shared" si="22"/>
        <v>5936.09</v>
      </c>
      <c r="F126" s="6">
        <f t="shared" si="22"/>
        <v>9093.7999999999993</v>
      </c>
      <c r="G126" s="6">
        <f t="shared" si="22"/>
        <v>1182.43</v>
      </c>
      <c r="H126" s="6">
        <f t="shared" si="22"/>
        <v>376.25</v>
      </c>
      <c r="I126" s="6">
        <f t="shared" si="22"/>
        <v>1774.01</v>
      </c>
      <c r="J126" s="6">
        <f t="shared" si="21"/>
        <v>127490.86999999998</v>
      </c>
    </row>
    <row r="127" spans="1:10" x14ac:dyDescent="0.25">
      <c r="A127" s="3" t="s">
        <v>130</v>
      </c>
      <c r="B127" s="6">
        <f t="shared" ref="B127:I127" si="23">((((((((B47)+(B50))+(B57))+(B70))+(B85))+(B91))+(B101))+(B107))+(B126)</f>
        <v>81114.509999999995</v>
      </c>
      <c r="C127" s="6">
        <f t="shared" si="23"/>
        <v>51536.81</v>
      </c>
      <c r="D127" s="6">
        <f t="shared" si="23"/>
        <v>59568.350000000006</v>
      </c>
      <c r="E127" s="6">
        <f t="shared" si="23"/>
        <v>27020.87</v>
      </c>
      <c r="F127" s="6">
        <f t="shared" si="23"/>
        <v>36442.770000000004</v>
      </c>
      <c r="G127" s="6">
        <f t="shared" si="23"/>
        <v>16371.099999999999</v>
      </c>
      <c r="H127" s="6">
        <f t="shared" si="23"/>
        <v>20510.030000000002</v>
      </c>
      <c r="I127" s="6">
        <f t="shared" si="23"/>
        <v>20656.399999999998</v>
      </c>
      <c r="J127" s="6">
        <f t="shared" si="21"/>
        <v>313220.84000000003</v>
      </c>
    </row>
    <row r="128" spans="1:10" x14ac:dyDescent="0.25">
      <c r="A128" s="3" t="s">
        <v>131</v>
      </c>
      <c r="B128" s="6">
        <f t="shared" ref="B128:I128" si="24">(B43)-(B127)</f>
        <v>64407.810000000012</v>
      </c>
      <c r="C128" s="6">
        <f t="shared" si="24"/>
        <v>-21763.959999999995</v>
      </c>
      <c r="D128" s="6">
        <f t="shared" si="24"/>
        <v>-57570.55</v>
      </c>
      <c r="E128" s="6">
        <f t="shared" si="24"/>
        <v>11948.439999999999</v>
      </c>
      <c r="F128" s="6">
        <f t="shared" si="24"/>
        <v>11970.729999999996</v>
      </c>
      <c r="G128" s="6">
        <f t="shared" si="24"/>
        <v>25462.11</v>
      </c>
      <c r="H128" s="6">
        <f t="shared" si="24"/>
        <v>-8467.9800000000014</v>
      </c>
      <c r="I128" s="6">
        <f t="shared" si="24"/>
        <v>-15353.919999999998</v>
      </c>
      <c r="J128" s="6">
        <f t="shared" si="21"/>
        <v>10632.680000000015</v>
      </c>
    </row>
    <row r="129" spans="1:10" x14ac:dyDescent="0.25">
      <c r="A129" s="3" t="s">
        <v>132</v>
      </c>
      <c r="B129" s="7">
        <f t="shared" ref="B129:I129" si="25">(B128)+(0)</f>
        <v>64407.810000000012</v>
      </c>
      <c r="C129" s="7">
        <f t="shared" si="25"/>
        <v>-21763.959999999995</v>
      </c>
      <c r="D129" s="7">
        <f t="shared" si="25"/>
        <v>-57570.55</v>
      </c>
      <c r="E129" s="7">
        <f t="shared" si="25"/>
        <v>11948.439999999999</v>
      </c>
      <c r="F129" s="7">
        <f t="shared" si="25"/>
        <v>11970.729999999996</v>
      </c>
      <c r="G129" s="7">
        <f t="shared" si="25"/>
        <v>25462.11</v>
      </c>
      <c r="H129" s="7">
        <f t="shared" si="25"/>
        <v>-8467.9800000000014</v>
      </c>
      <c r="I129" s="7">
        <f t="shared" si="25"/>
        <v>-15353.919999999998</v>
      </c>
      <c r="J129" s="7">
        <f t="shared" si="21"/>
        <v>10632.680000000015</v>
      </c>
    </row>
    <row r="130" spans="1:10" x14ac:dyDescent="0.25">
      <c r="A130" s="3"/>
      <c r="B130" s="4"/>
      <c r="C130" s="4"/>
      <c r="D130" s="4"/>
      <c r="E130" s="4"/>
      <c r="F130" s="4"/>
      <c r="G130" s="4"/>
      <c r="H130" s="4"/>
      <c r="I130" s="4"/>
      <c r="J130" s="4"/>
    </row>
    <row r="133" spans="1:10" x14ac:dyDescent="0.25">
      <c r="A133" s="8" t="s">
        <v>133</v>
      </c>
      <c r="B133" s="9"/>
      <c r="C133" s="9"/>
      <c r="D133" s="9"/>
      <c r="E133" s="9"/>
      <c r="F133" s="9"/>
      <c r="G133" s="9"/>
      <c r="H133" s="9"/>
      <c r="I133" s="9"/>
      <c r="J133" s="9"/>
    </row>
  </sheetData>
  <mergeCells count="4">
    <mergeCell ref="A133:J133"/>
    <mergeCell ref="A1:J1"/>
    <mergeCell ref="A2:J2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 by 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Ginger Greaves</cp:lastModifiedBy>
  <dcterms:created xsi:type="dcterms:W3CDTF">2024-03-19T20:34:31Z</dcterms:created>
  <dcterms:modified xsi:type="dcterms:W3CDTF">2024-03-26T18:34:46Z</dcterms:modified>
</cp:coreProperties>
</file>